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5" yWindow="705" windowWidth="15480" windowHeight="11640" tabRatio="500" activeTab="0"/>
  </bookViews>
  <sheets>
    <sheet name="Introduction" sheetId="1" r:id="rId1"/>
    <sheet name="EVA Example" sheetId="2" r:id="rId2"/>
    <sheet name="EVA Template" sheetId="3" r:id="rId3"/>
    <sheet name="Adjustments" sheetId="4" state="hidden" r:id="rId4"/>
  </sheets>
  <definedNames>
    <definedName name="k" localSheetId="2">'EVA Template'!$E$131</definedName>
    <definedName name="k">'EVA Example'!$E$151</definedName>
    <definedName name="kd" localSheetId="2">'EVA Template'!$D$129</definedName>
    <definedName name="kd">'EVA Example'!$D$149</definedName>
    <definedName name="m" localSheetId="2">'EVA Template'!$D$172</definedName>
    <definedName name="m">'EVA Example'!$D$191</definedName>
    <definedName name="_xlnm.Print_Area" localSheetId="1">'EVA Example'!$A$1:$K$192</definedName>
    <definedName name="_xlnm.Print_Area" localSheetId="2">'EVA Template'!$A$1:$K$171</definedName>
    <definedName name="_xlnm.Print_Area" localSheetId="0">'Introduction'!$A$1:$J$22</definedName>
    <definedName name="t" localSheetId="2">'EVA Template'!$D$133</definedName>
    <definedName name="t">'EVA Example'!$D$152</definedName>
  </definedNames>
  <calcPr fullCalcOnLoad="1"/>
</workbook>
</file>

<file path=xl/sharedStrings.xml><?xml version="1.0" encoding="utf-8"?>
<sst xmlns="http://schemas.openxmlformats.org/spreadsheetml/2006/main" count="281" uniqueCount="141">
  <si>
    <t>The economic value calculation is based upon the company's historical annual Profit &amp; Loss Statements  and Balance Sheets summarized on pages 2 &amp; 3.  Net operating profit after tax ("NOPAT"), on page 4, is determined by adjusting GAAP operating earnings to reflect any difference between book and economic depreciation, the recognition of R&amp;D expenditures over the period that they are expected to benefit the business, and the capitalization of operating lease obligations.  Total capital employed in the business, on page 5,  is determined by adjusting book value of interest bearing debt and equity to include capitalized R&amp;D expenditures, any excess book depreciation in prior periods, all previously amortized goodwill, and the present value of future operating lease obligations. Different or additional adjustments may be appropriate depending on the circumstances of the subject business.</t>
  </si>
  <si>
    <t>NOPAT Return on  Adjusted Capital</t>
  </si>
  <si>
    <t>XYZ Consolidated is an example of a manufacturing company operating in a capital intensive industry.  Over five years, revenue grew at a compound annual growth rate (CAGR) of 9.6%. At the same time, operating earnings expanded at a CAGR of 9.0%.  The company also invested approximately 86¢ in new fixed assets for each $1.00 of incremental sales.
From an income statement perspective, this company is a successful middle-market business, even though the company's EVA was negative in two of the five years.  On a cumulative present value basis, the firm generated positive EVA over the full period and, therefore, built economic or shareholder value in excess of the required return on invested capital.</t>
  </si>
  <si>
    <r>
      <t>This worksheet is intended as a simple template for calculating economic value added (EVA) from annual financial statement inputs provided by the user.  Depending on the circumstances of the subject company, it may not provide all of the adjustments that would be appropriate for a technically precise EVA calculation.  A more detailed explanation of the calculation of EVA and the underlying financial theory can be found in</t>
    </r>
    <r>
      <rPr>
        <i/>
        <sz val="14"/>
        <color indexed="23"/>
        <rFont val="Arial"/>
        <family val="0"/>
      </rPr>
      <t xml:space="preserve"> "The Quest for Value"</t>
    </r>
    <r>
      <rPr>
        <sz val="14"/>
        <color indexed="23"/>
        <rFont val="Arial"/>
        <family val="0"/>
      </rPr>
      <t xml:space="preserve"> by G. Bennett Stewart III, published by HarperBusiness.
EVA is a trademark of Stern Stewart &amp; Co.</t>
    </r>
  </si>
  <si>
    <t>Return on Equity (ROE)</t>
  </si>
  <si>
    <r>
      <t xml:space="preserve">The </t>
    </r>
    <r>
      <rPr>
        <b/>
        <sz val="14"/>
        <color indexed="23"/>
        <rFont val="Arial"/>
        <family val="0"/>
      </rPr>
      <t>EVA Example worksheet</t>
    </r>
    <r>
      <rPr>
        <sz val="14"/>
        <color indexed="23"/>
        <rFont val="Arial"/>
        <family val="0"/>
      </rPr>
      <t xml:space="preserve"> details the calculation of EVA over five years for a middle-market manufacturing company operating in a capital intensive industry.</t>
    </r>
  </si>
  <si>
    <r>
      <t xml:space="preserve">The </t>
    </r>
    <r>
      <rPr>
        <b/>
        <sz val="14"/>
        <color indexed="23"/>
        <rFont val="Arial"/>
        <family val="0"/>
      </rPr>
      <t>EVA Template worksheet</t>
    </r>
    <r>
      <rPr>
        <sz val="14"/>
        <color indexed="23"/>
        <rFont val="Arial"/>
        <family val="0"/>
      </rPr>
      <t xml:space="preserve"> provides a simple template for the calculation of EVA from annual financial statement inputs provided by the user. </t>
    </r>
  </si>
  <si>
    <r>
      <t xml:space="preserve">Economic Value Added or EVA is a tool for gauging the real economic performance of a business and its ability to create shareholder value. EVA provides a means for coupling the two fundamental drivers of economic or share holder value– operating earnings and capital efficiency.  The benefits of EVA are discussed in greater detail in the Fall 2005 issue of </t>
    </r>
    <r>
      <rPr>
        <i/>
        <sz val="14"/>
        <color indexed="23"/>
        <rFont val="Arial"/>
        <family val="0"/>
      </rPr>
      <t>InSight.</t>
    </r>
  </si>
  <si>
    <t>Summary Profit and Loss Statement</t>
  </si>
  <si>
    <t>Summary Financial Position</t>
  </si>
  <si>
    <t>EVA is a trademark of Stern Stewart &amp; Co</t>
  </si>
  <si>
    <t>Economic Value Added "EVA"</t>
  </si>
  <si>
    <t xml:space="preserve">The conclusions regarding the company's ability to generate economic value added are presented on page 6. </t>
  </si>
  <si>
    <t>No adjustment necessary</t>
  </si>
  <si>
    <t>Value Added / -Shortfall</t>
  </si>
  <si>
    <t xml:space="preserve"> Average over 5 years, should be based on the capitalization norm within the industry</t>
  </si>
  <si>
    <t>Add back excess book depreciation in prior periods</t>
  </si>
  <si>
    <t>Depreciation  &amp; Amortization</t>
  </si>
  <si>
    <t>Unadjusted Annual Balance Sheet</t>
  </si>
  <si>
    <t>Economic Value Added Example</t>
  </si>
  <si>
    <t>Deduct taxes payable on adjusted operating profits excluding the tax shield from interest expense.</t>
  </si>
  <si>
    <t>Insert assumptions</t>
  </si>
  <si>
    <t>Add historical  R&amp;D expenditures, net of amortization. Amortize over period that value is expected to be derived</t>
  </si>
  <si>
    <t xml:space="preserve"> Insert assumptions</t>
  </si>
  <si>
    <t>Other LT Liabilities</t>
  </si>
  <si>
    <t>Deduct other expenses</t>
  </si>
  <si>
    <t>Other Expense (Income)</t>
  </si>
  <si>
    <t>Net of depreciation and amortization</t>
  </si>
  <si>
    <t>Return Hurdle (cost of capital)</t>
  </si>
  <si>
    <t>Value Added (-Shortfall)</t>
  </si>
  <si>
    <t>Add back all cumulative goodwill amortization</t>
  </si>
  <si>
    <t>LIFO Balance</t>
  </si>
  <si>
    <t>FIFO Balance</t>
  </si>
  <si>
    <t>Market</t>
  </si>
  <si>
    <t>Change in the LIFO Reserve</t>
  </si>
  <si>
    <t>Research &amp; Development</t>
  </si>
  <si>
    <t>Taxes</t>
  </si>
  <si>
    <t>Assumptions in red bold</t>
  </si>
  <si>
    <t>Weighting</t>
  </si>
  <si>
    <t>Total  R&amp;D expenditures, net of amortization</t>
  </si>
  <si>
    <t>Total Invested Capital and Cost of Capital</t>
  </si>
  <si>
    <t>R&amp;D Expenses</t>
  </si>
  <si>
    <t>Amort 1</t>
  </si>
  <si>
    <t>Amort 2</t>
  </si>
  <si>
    <t>Amort 3</t>
  </si>
  <si>
    <t>Difference Expense</t>
  </si>
  <si>
    <t>Capitalized R&amp;D</t>
  </si>
  <si>
    <t>Economic Value Added</t>
  </si>
  <si>
    <t>Current Portion of Long-term Debt</t>
  </si>
  <si>
    <t>Total Current Liabilities</t>
  </si>
  <si>
    <t>Sales / Gross Fixed Assets</t>
  </si>
  <si>
    <t>Present Value of Operating Leases</t>
  </si>
  <si>
    <t>EVA Template</t>
  </si>
  <si>
    <t>Debt (Kd)</t>
  </si>
  <si>
    <t>Add present value of operating leases discounted at Kd.</t>
  </si>
  <si>
    <t>Long Term Debt, less current portion</t>
  </si>
  <si>
    <t>Net Worth</t>
  </si>
  <si>
    <t>Total Liabilities &amp; Net Worth</t>
  </si>
  <si>
    <t>Total Assets</t>
  </si>
  <si>
    <t>Net Property &amp; Equipment</t>
  </si>
  <si>
    <t>Adjustments:</t>
  </si>
  <si>
    <t>Depreciation</t>
  </si>
  <si>
    <t>Other Expense</t>
  </si>
  <si>
    <t>Miscellaneous</t>
  </si>
  <si>
    <t>NOPAT</t>
  </si>
  <si>
    <t>Capital Employed:</t>
  </si>
  <si>
    <t>Debt</t>
  </si>
  <si>
    <t>Equity</t>
  </si>
  <si>
    <t>Cost of Capital:</t>
  </si>
  <si>
    <t>Weighted Average (Kw)</t>
  </si>
  <si>
    <t>Tax Rate</t>
  </si>
  <si>
    <t>Capital Cost</t>
  </si>
  <si>
    <t>Sales Growth</t>
  </si>
  <si>
    <t>XYZ Consolidated</t>
  </si>
  <si>
    <t xml:space="preserve">   </t>
  </si>
  <si>
    <t>Gross Margin</t>
  </si>
  <si>
    <t>Annual EVA Summary</t>
  </si>
  <si>
    <t>Annual EVA</t>
  </si>
  <si>
    <t>($ in Thousands)</t>
  </si>
  <si>
    <t>Operating Margin</t>
  </si>
  <si>
    <t>Operating Profit</t>
  </si>
  <si>
    <t>Other Performance Measures</t>
  </si>
  <si>
    <t>Operating Earnings Growth</t>
  </si>
  <si>
    <t>Net Earnings Growth</t>
  </si>
  <si>
    <t>Current Value of Cumulative EVA</t>
  </si>
  <si>
    <t>Subject Company:  XYZ Consolidated</t>
  </si>
  <si>
    <t>Return on Equity(ROE)</t>
  </si>
  <si>
    <t>Return on Net Assets (RONA)</t>
  </si>
  <si>
    <t>EBIT</t>
  </si>
  <si>
    <t xml:space="preserve">Subject Company: </t>
  </si>
  <si>
    <t>Adjust for the difference between book and economic depreciation</t>
  </si>
  <si>
    <t>Add back difference between current period R&amp;D expense and amortization of capitalized R&amp;D</t>
  </si>
  <si>
    <t>Net Profit Margin</t>
  </si>
  <si>
    <t>Trading Assets</t>
  </si>
  <si>
    <t>Pre-Tax</t>
  </si>
  <si>
    <t>After-Tax</t>
  </si>
  <si>
    <t>Comments</t>
  </si>
  <si>
    <t>Net Operating Profit After Taxes</t>
  </si>
  <si>
    <t>NPV</t>
  </si>
  <si>
    <t>Operating Lease Expense</t>
  </si>
  <si>
    <t>Total Adjusted Capital</t>
  </si>
  <si>
    <t>Book Value of Capital</t>
  </si>
  <si>
    <t>LIFO Reserve</t>
  </si>
  <si>
    <t>LIFO Adjustment</t>
  </si>
  <si>
    <t>Net Profit Growth</t>
  </si>
  <si>
    <t>Kw should be weighted based upon the capitalization norm for the industry</t>
  </si>
  <si>
    <t>Taxes payable on adjusted operating profits excluding the tax shield from interest expense.</t>
  </si>
  <si>
    <t>Difference between expensing all R&amp;D and capitalizing and amortizing over 5 years</t>
  </si>
  <si>
    <t>All interest bearing debt</t>
  </si>
  <si>
    <t>Book value of equity</t>
  </si>
  <si>
    <t>Add back annual rents and operating lease payments</t>
  </si>
  <si>
    <t>Net Present  Value of Future Lease Payments</t>
  </si>
  <si>
    <t xml:space="preserve"> Unadjusted Annual Performance Data</t>
  </si>
  <si>
    <t>No adjustment made - book and economic depreciation are reasonably equivalent</t>
  </si>
  <si>
    <t>EBITDA Margin</t>
  </si>
  <si>
    <t>Depreciation CGS</t>
  </si>
  <si>
    <t>SGA</t>
  </si>
  <si>
    <t>Cash flow</t>
  </si>
  <si>
    <t>Capital Balance</t>
  </si>
  <si>
    <t>Sales</t>
  </si>
  <si>
    <t>Year</t>
  </si>
  <si>
    <t>Cost of Sales</t>
  </si>
  <si>
    <t>Gross Profit</t>
  </si>
  <si>
    <t>S, G &amp; A</t>
  </si>
  <si>
    <t>Interest Expense</t>
  </si>
  <si>
    <t>Other (Income) Expense</t>
  </si>
  <si>
    <t>Pre-tax Profit</t>
  </si>
  <si>
    <t>Tax Expense</t>
  </si>
  <si>
    <t>Net Profit</t>
  </si>
  <si>
    <t>EBITDA</t>
  </si>
  <si>
    <t>Summary Balance Sheet</t>
  </si>
  <si>
    <t>Cash</t>
  </si>
  <si>
    <t>Total Current Assets</t>
  </si>
  <si>
    <t>Property &amp; Equipment</t>
  </si>
  <si>
    <t>Less: Accumulated Depreciation</t>
  </si>
  <si>
    <t>Deposits an Other Assets</t>
  </si>
  <si>
    <t>Goodwill</t>
  </si>
  <si>
    <t>Bank Credit Line</t>
  </si>
  <si>
    <t>Accounts Payable</t>
  </si>
  <si>
    <t>Other Accrued Liabilities</t>
  </si>
  <si>
    <t xml:space="preserve">www.zacharyscott.com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</si>
</sst>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_);_(* \(#,##0.0\);_(* &quot;-&quot;?_);_(@_)"/>
    <numFmt numFmtId="168" formatCode="_(* #,##0.000_);_(* \(#,##0.000\);_(* &quot;-&quot;???_);_(@_)"/>
    <numFmt numFmtId="169" formatCode="0.0"/>
  </numFmts>
  <fonts count="30">
    <font>
      <sz val="12"/>
      <name val="Helv"/>
      <family val="0"/>
    </font>
    <font>
      <b/>
      <sz val="12"/>
      <name val="Helv"/>
      <family val="0"/>
    </font>
    <font>
      <i/>
      <sz val="12"/>
      <name val="Helv"/>
      <family val="0"/>
    </font>
    <font>
      <b/>
      <i/>
      <sz val="12"/>
      <name val="Helv"/>
      <family val="0"/>
    </font>
    <font>
      <u val="singleAccounting"/>
      <sz val="12"/>
      <name val="Helv"/>
      <family val="0"/>
    </font>
    <font>
      <u val="single"/>
      <sz val="12"/>
      <color indexed="12"/>
      <name val="Helv"/>
      <family val="0"/>
    </font>
    <font>
      <u val="single"/>
      <sz val="12"/>
      <color indexed="61"/>
      <name val="Helv"/>
      <family val="0"/>
    </font>
    <font>
      <b/>
      <i/>
      <sz val="14"/>
      <name val="Helv"/>
      <family val="0"/>
    </font>
    <font>
      <b/>
      <sz val="16"/>
      <name val="Helv"/>
      <family val="0"/>
    </font>
    <font>
      <b/>
      <sz val="14"/>
      <name val="Helv"/>
      <family val="0"/>
    </font>
    <font>
      <sz val="10"/>
      <name val="Helv"/>
      <family val="0"/>
    </font>
    <font>
      <i/>
      <sz val="10"/>
      <name val="Helv"/>
      <family val="0"/>
    </font>
    <font>
      <sz val="11"/>
      <name val="Helv"/>
      <family val="0"/>
    </font>
    <font>
      <b/>
      <sz val="11"/>
      <name val="Helv"/>
      <family val="0"/>
    </font>
    <font>
      <i/>
      <u val="singleAccounting"/>
      <sz val="12"/>
      <name val="Helv"/>
      <family val="0"/>
    </font>
    <font>
      <sz val="12"/>
      <color indexed="9"/>
      <name val="Helv"/>
      <family val="0"/>
    </font>
    <font>
      <b/>
      <sz val="12"/>
      <color indexed="10"/>
      <name val="Helv"/>
      <family val="0"/>
    </font>
    <font>
      <sz val="8"/>
      <name val="Helv"/>
      <family val="0"/>
    </font>
    <font>
      <sz val="12"/>
      <color indexed="23"/>
      <name val="Arial"/>
      <family val="0"/>
    </font>
    <font>
      <sz val="12"/>
      <color indexed="23"/>
      <name val="Helv"/>
      <family val="0"/>
    </font>
    <font>
      <sz val="12"/>
      <color indexed="8"/>
      <name val="Helv"/>
      <family val="0"/>
    </font>
    <font>
      <i/>
      <sz val="10"/>
      <color indexed="8"/>
      <name val="Helv"/>
      <family val="0"/>
    </font>
    <font>
      <sz val="14"/>
      <color indexed="23"/>
      <name val="Arial"/>
      <family val="0"/>
    </font>
    <font>
      <i/>
      <sz val="14"/>
      <color indexed="23"/>
      <name val="Arial"/>
      <family val="0"/>
    </font>
    <font>
      <sz val="12"/>
      <color indexed="10"/>
      <name val="Helv"/>
      <family val="0"/>
    </font>
    <font>
      <b/>
      <i/>
      <sz val="26"/>
      <color indexed="9"/>
      <name val="AGaramond Semibold"/>
      <family val="0"/>
    </font>
    <font>
      <b/>
      <sz val="14"/>
      <color indexed="23"/>
      <name val="Arial"/>
      <family val="0"/>
    </font>
    <font>
      <u val="singleAccounting"/>
      <sz val="36"/>
      <color indexed="18"/>
      <name val="AGaramond Bold"/>
      <family val="0"/>
    </font>
    <font>
      <sz val="36"/>
      <name val="Helv"/>
      <family val="0"/>
    </font>
    <font>
      <sz val="36"/>
      <color indexed="18"/>
      <name val="AGaramond Bold"/>
      <family val="0"/>
    </font>
  </fonts>
  <fills count="5">
    <fill>
      <patternFill/>
    </fill>
    <fill>
      <patternFill patternType="gray125"/>
    </fill>
    <fill>
      <patternFill patternType="solid">
        <fgColor indexed="22"/>
        <bgColor indexed="64"/>
      </patternFill>
    </fill>
    <fill>
      <patternFill patternType="solid">
        <fgColor indexed="54"/>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55"/>
      </bottom>
    </border>
    <border>
      <left>
        <color indexed="63"/>
      </left>
      <right>
        <color indexed="63"/>
      </right>
      <top>
        <color indexed="63"/>
      </top>
      <bottom style="double">
        <color indexed="1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alignment horizontal="left" indent="1"/>
    </xf>
    <xf numFmtId="165" fontId="0" fillId="0" borderId="0" xfId="15" applyNumberFormat="1" applyAlignment="1">
      <alignment vertical="center"/>
    </xf>
    <xf numFmtId="165" fontId="1" fillId="0" borderId="1" xfId="15" applyNumberFormat="1" applyFont="1" applyBorder="1" applyAlignment="1">
      <alignment vertical="center"/>
    </xf>
    <xf numFmtId="165" fontId="1" fillId="0" borderId="0" xfId="15" applyNumberFormat="1" applyFont="1" applyAlignment="1">
      <alignment vertical="center"/>
    </xf>
    <xf numFmtId="165" fontId="3" fillId="0" borderId="0" xfId="15" applyNumberFormat="1" applyFont="1" applyAlignment="1">
      <alignment/>
    </xf>
    <xf numFmtId="166" fontId="0" fillId="0" borderId="0" xfId="21" applyNumberFormat="1" applyAlignment="1">
      <alignment/>
    </xf>
    <xf numFmtId="165" fontId="0" fillId="0" borderId="0" xfId="15" applyNumberFormat="1" applyFont="1" applyAlignment="1">
      <alignment horizontal="left" indent="2"/>
    </xf>
    <xf numFmtId="165" fontId="0" fillId="0" borderId="0" xfId="15" applyNumberFormat="1" applyBorder="1" applyAlignment="1">
      <alignment/>
    </xf>
    <xf numFmtId="165" fontId="0" fillId="0" borderId="0" xfId="15" applyNumberFormat="1" applyFont="1" applyAlignment="1">
      <alignment/>
    </xf>
    <xf numFmtId="165" fontId="8" fillId="0" borderId="0" xfId="15" applyNumberFormat="1" applyFont="1" applyAlignment="1">
      <alignment/>
    </xf>
    <xf numFmtId="165" fontId="1" fillId="2" borderId="0" xfId="15" applyNumberFormat="1" applyFont="1" applyFill="1" applyBorder="1" applyAlignment="1">
      <alignment horizontal="left" vertical="center" indent="1"/>
    </xf>
    <xf numFmtId="165" fontId="1" fillId="2" borderId="0" xfId="15" applyNumberFormat="1" applyFont="1" applyFill="1" applyBorder="1" applyAlignment="1">
      <alignment vertical="center"/>
    </xf>
    <xf numFmtId="9" fontId="2" fillId="0" borderId="0" xfId="21" applyFont="1" applyAlignment="1">
      <alignment/>
    </xf>
    <xf numFmtId="165" fontId="1" fillId="0" borderId="0" xfId="15" applyNumberFormat="1" applyFont="1" applyAlignment="1">
      <alignment horizontal="left" indent="1"/>
    </xf>
    <xf numFmtId="165" fontId="9" fillId="0" borderId="0" xfId="15" applyNumberFormat="1" applyFont="1" applyAlignment="1">
      <alignment/>
    </xf>
    <xf numFmtId="1" fontId="1" fillId="0" borderId="1" xfId="15" applyNumberFormat="1" applyFont="1" applyBorder="1" applyAlignment="1">
      <alignment horizontal="center" vertical="center"/>
    </xf>
    <xf numFmtId="165" fontId="7" fillId="0" borderId="0" xfId="15" applyNumberFormat="1" applyFont="1" applyFill="1" applyAlignment="1">
      <alignment horizontal="left" vertical="center" indent="1"/>
    </xf>
    <xf numFmtId="165" fontId="0" fillId="0" borderId="0" xfId="15" applyNumberFormat="1" applyFill="1" applyAlignment="1">
      <alignment vertical="center"/>
    </xf>
    <xf numFmtId="165" fontId="1" fillId="0" borderId="0" xfId="15" applyNumberFormat="1" applyFont="1" applyAlignment="1">
      <alignment/>
    </xf>
    <xf numFmtId="165" fontId="10" fillId="0" borderId="0" xfId="15" applyNumberFormat="1" applyFont="1" applyAlignment="1">
      <alignment/>
    </xf>
    <xf numFmtId="166" fontId="11" fillId="0" borderId="0" xfId="21" applyNumberFormat="1" applyFont="1" applyAlignment="1">
      <alignment/>
    </xf>
    <xf numFmtId="165" fontId="11" fillId="0" borderId="0" xfId="15" applyNumberFormat="1" applyFont="1" applyAlignment="1">
      <alignment horizontal="left" indent="1"/>
    </xf>
    <xf numFmtId="166" fontId="11" fillId="0" borderId="0" xfId="21" applyNumberFormat="1" applyFont="1" applyAlignment="1">
      <alignment horizontal="left" indent="1"/>
    </xf>
    <xf numFmtId="166" fontId="10" fillId="0" borderId="0" xfId="21" applyNumberFormat="1" applyFont="1" applyAlignment="1">
      <alignment/>
    </xf>
    <xf numFmtId="165" fontId="11" fillId="0" borderId="0" xfId="15" applyNumberFormat="1" applyFont="1" applyAlignment="1">
      <alignment/>
    </xf>
    <xf numFmtId="165" fontId="1" fillId="0" borderId="0" xfId="15" applyNumberFormat="1" applyFont="1" applyAlignment="1">
      <alignment horizontal="left"/>
    </xf>
    <xf numFmtId="165" fontId="0" fillId="0" borderId="0" xfId="15" applyNumberFormat="1" applyFont="1" applyAlignment="1">
      <alignment horizontal="left" indent="1"/>
    </xf>
    <xf numFmtId="166" fontId="0" fillId="0" borderId="0" xfId="21" applyNumberFormat="1" applyFont="1" applyAlignment="1">
      <alignment/>
    </xf>
    <xf numFmtId="165" fontId="1" fillId="0" borderId="1" xfId="15" applyNumberFormat="1" applyFont="1" applyBorder="1" applyAlignment="1">
      <alignment horizontal="left" indent="2"/>
    </xf>
    <xf numFmtId="165" fontId="0" fillId="3" borderId="0" xfId="15" applyNumberFormat="1" applyFont="1" applyFill="1" applyAlignment="1">
      <alignment vertical="center"/>
    </xf>
    <xf numFmtId="165" fontId="0" fillId="3" borderId="0" xfId="15" applyNumberFormat="1" applyFill="1" applyAlignment="1">
      <alignment vertical="center"/>
    </xf>
    <xf numFmtId="165" fontId="0" fillId="3" borderId="0" xfId="15" applyNumberFormat="1" applyFill="1" applyAlignment="1">
      <alignment/>
    </xf>
    <xf numFmtId="165" fontId="0" fillId="3" borderId="0" xfId="15" applyNumberFormat="1" applyFont="1" applyFill="1" applyAlignment="1">
      <alignment/>
    </xf>
    <xf numFmtId="165" fontId="1" fillId="0" borderId="0" xfId="15" applyNumberFormat="1" applyFont="1" applyBorder="1" applyAlignment="1">
      <alignment vertical="center"/>
    </xf>
    <xf numFmtId="1" fontId="1" fillId="0" borderId="0" xfId="15" applyNumberFormat="1" applyFont="1" applyBorder="1" applyAlignment="1">
      <alignment horizontal="center" vertical="center"/>
    </xf>
    <xf numFmtId="166" fontId="0" fillId="0" borderId="0" xfId="21" applyNumberFormat="1" applyFont="1" applyAlignment="1">
      <alignment horizontal="right"/>
    </xf>
    <xf numFmtId="165" fontId="0" fillId="2" borderId="0" xfId="15" applyNumberFormat="1" applyFill="1" applyAlignment="1">
      <alignment vertical="center"/>
    </xf>
    <xf numFmtId="165" fontId="0" fillId="0" borderId="0" xfId="15" applyNumberFormat="1" applyFont="1" applyAlignment="1">
      <alignment horizontal="left" vertical="top" wrapText="1" indent="1"/>
    </xf>
    <xf numFmtId="165" fontId="0" fillId="0" borderId="0" xfId="15" applyNumberFormat="1" applyAlignment="1">
      <alignment vertical="top" wrapText="1"/>
    </xf>
    <xf numFmtId="165" fontId="0" fillId="0" borderId="0" xfId="15" applyNumberFormat="1" applyFont="1" applyAlignment="1">
      <alignment horizontal="left" vertical="top" wrapText="1"/>
    </xf>
    <xf numFmtId="165" fontId="12" fillId="0" borderId="0" xfId="15" applyNumberFormat="1" applyFont="1" applyAlignment="1">
      <alignment vertical="top" wrapText="1"/>
    </xf>
    <xf numFmtId="165" fontId="12" fillId="0" borderId="0" xfId="15" applyNumberFormat="1" applyFont="1" applyAlignment="1">
      <alignment/>
    </xf>
    <xf numFmtId="165" fontId="12" fillId="3" borderId="0" xfId="15" applyNumberFormat="1" applyFont="1" applyFill="1" applyAlignment="1">
      <alignment/>
    </xf>
    <xf numFmtId="165" fontId="12" fillId="0" borderId="0" xfId="15" applyNumberFormat="1" applyFont="1" applyAlignment="1">
      <alignment vertical="center"/>
    </xf>
    <xf numFmtId="165" fontId="13" fillId="0" borderId="0" xfId="15" applyNumberFormat="1" applyFont="1" applyAlignment="1">
      <alignment vertical="center"/>
    </xf>
    <xf numFmtId="9" fontId="12" fillId="0" borderId="0" xfId="21" applyFont="1" applyAlignment="1">
      <alignment/>
    </xf>
    <xf numFmtId="166" fontId="12" fillId="0" borderId="0" xfId="21" applyNumberFormat="1" applyFont="1" applyAlignment="1">
      <alignment/>
    </xf>
    <xf numFmtId="165" fontId="14" fillId="0" borderId="0" xfId="15" applyNumberFormat="1" applyFont="1" applyAlignment="1">
      <alignment horizontal="right" vertical="top"/>
    </xf>
    <xf numFmtId="165" fontId="3" fillId="0" borderId="0" xfId="15" applyNumberFormat="1" applyFont="1" applyAlignment="1">
      <alignment vertical="top"/>
    </xf>
    <xf numFmtId="165" fontId="15" fillId="3" borderId="0" xfId="15" applyNumberFormat="1" applyFont="1" applyFill="1" applyAlignment="1">
      <alignment vertical="center"/>
    </xf>
    <xf numFmtId="165" fontId="0" fillId="0" borderId="1" xfId="15" applyNumberFormat="1" applyBorder="1" applyAlignment="1">
      <alignment vertical="top" wrapText="1"/>
    </xf>
    <xf numFmtId="166" fontId="16" fillId="0" borderId="0" xfId="21" applyNumberFormat="1" applyFont="1" applyAlignment="1">
      <alignment/>
    </xf>
    <xf numFmtId="165" fontId="0" fillId="0" borderId="0" xfId="15" applyNumberFormat="1" applyFont="1" applyAlignment="1">
      <alignment horizontal="left" vertical="top" indent="1"/>
    </xf>
    <xf numFmtId="165" fontId="1" fillId="0" borderId="2" xfId="15" applyNumberFormat="1" applyFont="1" applyBorder="1" applyAlignment="1">
      <alignment/>
    </xf>
    <xf numFmtId="165" fontId="0" fillId="0" borderId="3" xfId="15" applyNumberForma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165" fontId="0" fillId="0" borderId="5" xfId="15" applyNumberFormat="1" applyBorder="1" applyAlignment="1">
      <alignment horizontal="center"/>
    </xf>
    <xf numFmtId="165" fontId="0" fillId="0" borderId="0" xfId="15" applyNumberFormat="1" applyFont="1" applyBorder="1" applyAlignment="1">
      <alignment/>
    </xf>
    <xf numFmtId="165" fontId="0" fillId="0" borderId="5" xfId="15" applyNumberFormat="1" applyFont="1" applyBorder="1" applyAlignment="1">
      <alignment horizontal="right"/>
    </xf>
    <xf numFmtId="165" fontId="0" fillId="0" borderId="0" xfId="15" applyNumberFormat="1" applyFont="1" applyBorder="1" applyAlignment="1">
      <alignment horizontal="right"/>
    </xf>
    <xf numFmtId="165" fontId="0" fillId="0" borderId="7" xfId="15" applyNumberFormat="1" applyBorder="1" applyAlignment="1">
      <alignment/>
    </xf>
    <xf numFmtId="165" fontId="0" fillId="0" borderId="8" xfId="15" applyNumberFormat="1" applyBorder="1" applyAlignment="1">
      <alignment/>
    </xf>
    <xf numFmtId="165" fontId="1" fillId="0" borderId="7" xfId="15" applyNumberFormat="1" applyFont="1" applyBorder="1" applyAlignment="1">
      <alignment horizontal="right"/>
    </xf>
    <xf numFmtId="165" fontId="0" fillId="0" borderId="5" xfId="15" applyNumberFormat="1" applyFont="1" applyBorder="1" applyAlignment="1">
      <alignment/>
    </xf>
    <xf numFmtId="165" fontId="0" fillId="0" borderId="6" xfId="15" applyNumberFormat="1" applyFont="1" applyBorder="1" applyAlignment="1">
      <alignment/>
    </xf>
    <xf numFmtId="165" fontId="4" fillId="0" borderId="0" xfId="15" applyNumberFormat="1" applyFont="1" applyBorder="1" applyAlignment="1">
      <alignment/>
    </xf>
    <xf numFmtId="165" fontId="4" fillId="0" borderId="6" xfId="15" applyNumberFormat="1" applyFont="1" applyBorder="1" applyAlignment="1">
      <alignment/>
    </xf>
    <xf numFmtId="165" fontId="16" fillId="0" borderId="0" xfId="15" applyNumberFormat="1" applyFont="1" applyAlignment="1">
      <alignment horizontal="right"/>
    </xf>
    <xf numFmtId="165" fontId="1" fillId="0" borderId="0" xfId="15" applyNumberFormat="1" applyFont="1" applyAlignment="1">
      <alignment vertical="top"/>
    </xf>
    <xf numFmtId="165" fontId="0" fillId="0" borderId="9" xfId="15" applyNumberFormat="1" applyFont="1" applyBorder="1" applyAlignment="1">
      <alignment horizontal="left" indent="1"/>
    </xf>
    <xf numFmtId="165" fontId="0" fillId="0" borderId="9" xfId="15" applyNumberFormat="1" applyBorder="1" applyAlignment="1">
      <alignment/>
    </xf>
    <xf numFmtId="165" fontId="0" fillId="0" borderId="9" xfId="15" applyNumberFormat="1" applyFont="1" applyBorder="1" applyAlignment="1">
      <alignment horizontal="left" indent="1"/>
    </xf>
    <xf numFmtId="166" fontId="0" fillId="0" borderId="9" xfId="21" applyNumberFormat="1" applyFont="1" applyBorder="1" applyAlignment="1">
      <alignment horizontal="right"/>
    </xf>
    <xf numFmtId="165" fontId="0" fillId="0" borderId="9" xfId="0" applyNumberFormat="1" applyBorder="1" applyAlignment="1">
      <alignment horizontal="left" indent="1"/>
    </xf>
    <xf numFmtId="166" fontId="0" fillId="0" borderId="9" xfId="21" applyNumberFormat="1" applyFont="1" applyBorder="1" applyAlignment="1">
      <alignment/>
    </xf>
    <xf numFmtId="165" fontId="1" fillId="0" borderId="1" xfId="15" applyNumberFormat="1" applyFont="1" applyBorder="1" applyAlignment="1">
      <alignment horizontal="left" vertical="center"/>
    </xf>
    <xf numFmtId="165" fontId="0" fillId="0" borderId="1" xfId="15" applyNumberFormat="1" applyBorder="1" applyAlignment="1">
      <alignment vertical="center"/>
    </xf>
    <xf numFmtId="165" fontId="0" fillId="0" borderId="1" xfId="15" applyNumberFormat="1" applyFont="1" applyBorder="1" applyAlignment="1">
      <alignment vertical="center"/>
    </xf>
    <xf numFmtId="166" fontId="0" fillId="0" borderId="9" xfId="21" applyNumberFormat="1" applyBorder="1" applyAlignment="1">
      <alignment/>
    </xf>
    <xf numFmtId="0" fontId="3" fillId="0" borderId="0" xfId="0" applyFont="1" applyAlignment="1">
      <alignment vertical="top"/>
    </xf>
    <xf numFmtId="0" fontId="0" fillId="0" borderId="0" xfId="0" applyAlignment="1">
      <alignment wrapText="1"/>
    </xf>
    <xf numFmtId="49" fontId="0" fillId="0" borderId="0" xfId="0" applyNumberFormat="1" applyAlignment="1">
      <alignment horizontal="left" vertical="top" wrapText="1"/>
    </xf>
    <xf numFmtId="164" fontId="0" fillId="0" borderId="0" xfId="15" applyNumberFormat="1" applyFont="1" applyAlignment="1">
      <alignment/>
    </xf>
    <xf numFmtId="43" fontId="0" fillId="0" borderId="0" xfId="15" applyNumberFormat="1" applyAlignment="1">
      <alignment/>
    </xf>
    <xf numFmtId="0" fontId="18" fillId="0" borderId="0" xfId="0" applyNumberFormat="1" applyFont="1" applyFill="1" applyBorder="1" applyAlignment="1" applyProtection="1">
      <alignment horizontal="left" vertical="top" wrapText="1" indent="1"/>
      <protection/>
    </xf>
    <xf numFmtId="0" fontId="19" fillId="0" borderId="0" xfId="0" applyFont="1" applyAlignment="1">
      <alignment wrapText="1"/>
    </xf>
    <xf numFmtId="165" fontId="9" fillId="0" borderId="0" xfId="15" applyNumberFormat="1" applyFont="1" applyAlignment="1">
      <alignment vertical="top"/>
    </xf>
    <xf numFmtId="165" fontId="0" fillId="0" borderId="0" xfId="15" applyNumberFormat="1" applyAlignment="1">
      <alignment/>
    </xf>
    <xf numFmtId="165" fontId="0" fillId="3" borderId="0" xfId="15" applyNumberFormat="1" applyFill="1" applyAlignment="1">
      <alignment vertical="center"/>
    </xf>
    <xf numFmtId="165" fontId="0" fillId="3" borderId="0" xfId="15" applyNumberFormat="1" applyFill="1" applyAlignment="1">
      <alignment/>
    </xf>
    <xf numFmtId="165" fontId="0" fillId="0" borderId="1" xfId="15" applyNumberFormat="1" applyBorder="1" applyAlignment="1">
      <alignment/>
    </xf>
    <xf numFmtId="165" fontId="9" fillId="0" borderId="0" xfId="15" applyNumberFormat="1" applyFont="1" applyAlignment="1">
      <alignment vertical="center"/>
    </xf>
    <xf numFmtId="165" fontId="0" fillId="0" borderId="0" xfId="15" applyNumberFormat="1" applyFont="1" applyAlignment="1">
      <alignment horizontal="left" vertical="top" wrapText="1" indent="1"/>
    </xf>
    <xf numFmtId="165" fontId="0" fillId="0" borderId="0" xfId="15" applyNumberFormat="1" applyAlignment="1">
      <alignment vertical="top" wrapText="1"/>
    </xf>
    <xf numFmtId="165" fontId="0" fillId="0" borderId="0" xfId="15" applyNumberFormat="1" applyFont="1" applyAlignment="1">
      <alignment horizontal="left" vertical="top" wrapText="1"/>
    </xf>
    <xf numFmtId="165" fontId="0" fillId="0" borderId="0" xfId="15" applyNumberFormat="1" applyAlignment="1">
      <alignment vertical="center"/>
    </xf>
    <xf numFmtId="165" fontId="0" fillId="3" borderId="0" xfId="15" applyNumberFormat="1" applyFont="1" applyFill="1" applyAlignment="1">
      <alignment vertical="center"/>
    </xf>
    <xf numFmtId="165" fontId="0" fillId="3" borderId="0" xfId="15" applyNumberFormat="1" applyFont="1" applyFill="1" applyAlignment="1">
      <alignment/>
    </xf>
    <xf numFmtId="165" fontId="0" fillId="0" borderId="0" xfId="15" applyNumberFormat="1" applyFill="1" applyAlignment="1">
      <alignment vertical="center"/>
    </xf>
    <xf numFmtId="165" fontId="0" fillId="0" borderId="1" xfId="15" applyNumberFormat="1" applyBorder="1" applyAlignment="1">
      <alignment vertical="top" wrapText="1"/>
    </xf>
    <xf numFmtId="165" fontId="0" fillId="0" borderId="0" xfId="15" applyNumberFormat="1" applyFont="1" applyAlignment="1">
      <alignment horizontal="left" indent="2"/>
    </xf>
    <xf numFmtId="165" fontId="0" fillId="0" borderId="0" xfId="15" applyNumberFormat="1" applyFont="1" applyAlignment="1">
      <alignment horizontal="left" vertical="top" indent="1"/>
    </xf>
    <xf numFmtId="166" fontId="0" fillId="0" borderId="0" xfId="21" applyNumberFormat="1" applyAlignment="1">
      <alignment/>
    </xf>
    <xf numFmtId="165" fontId="0" fillId="0" borderId="0" xfId="15" applyNumberFormat="1" applyBorder="1" applyAlignment="1">
      <alignment/>
    </xf>
    <xf numFmtId="165" fontId="0" fillId="2" borderId="0" xfId="15" applyNumberFormat="1" applyFill="1" applyAlignment="1">
      <alignment vertical="center"/>
    </xf>
    <xf numFmtId="166" fontId="0" fillId="0" borderId="0" xfId="21" applyNumberFormat="1" applyFont="1" applyAlignment="1">
      <alignment/>
    </xf>
    <xf numFmtId="165" fontId="0" fillId="0" borderId="1" xfId="15" applyNumberFormat="1" applyBorder="1" applyAlignment="1">
      <alignment vertical="center"/>
    </xf>
    <xf numFmtId="165" fontId="0" fillId="0" borderId="1" xfId="15" applyNumberFormat="1" applyFont="1" applyBorder="1" applyAlignment="1">
      <alignment vertical="center"/>
    </xf>
    <xf numFmtId="165" fontId="0" fillId="0" borderId="9" xfId="15" applyNumberFormat="1" applyBorder="1" applyAlignment="1">
      <alignment/>
    </xf>
    <xf numFmtId="166" fontId="0" fillId="0" borderId="9" xfId="21" applyNumberFormat="1" applyBorder="1" applyAlignment="1">
      <alignment/>
    </xf>
    <xf numFmtId="166" fontId="0" fillId="0" borderId="0" xfId="21" applyNumberFormat="1" applyFont="1" applyAlignment="1">
      <alignment horizontal="right"/>
    </xf>
    <xf numFmtId="166" fontId="0" fillId="0" borderId="9" xfId="21" applyNumberFormat="1" applyFont="1" applyBorder="1" applyAlignment="1">
      <alignment horizontal="right"/>
    </xf>
    <xf numFmtId="166" fontId="0" fillId="0" borderId="9" xfId="21" applyNumberFormat="1" applyFont="1" applyBorder="1" applyAlignment="1">
      <alignment/>
    </xf>
    <xf numFmtId="164" fontId="0" fillId="0" borderId="0" xfId="15" applyNumberFormat="1" applyFont="1" applyAlignment="1">
      <alignment/>
    </xf>
    <xf numFmtId="166" fontId="16" fillId="4" borderId="0" xfId="21" applyNumberFormat="1" applyFont="1" applyFill="1" applyAlignment="1">
      <alignment/>
    </xf>
    <xf numFmtId="166" fontId="21" fillId="0" borderId="0" xfId="21" applyNumberFormat="1" applyFont="1" applyAlignment="1">
      <alignment/>
    </xf>
    <xf numFmtId="165" fontId="20" fillId="0" borderId="0" xfId="15" applyNumberFormat="1" applyFont="1" applyAlignment="1">
      <alignment/>
    </xf>
    <xf numFmtId="166" fontId="20" fillId="0" borderId="0" xfId="21" applyNumberFormat="1" applyFont="1" applyAlignment="1">
      <alignment/>
    </xf>
    <xf numFmtId="165" fontId="20" fillId="0" borderId="0" xfId="15" applyNumberFormat="1" applyFont="1" applyFill="1" applyAlignment="1">
      <alignment/>
    </xf>
    <xf numFmtId="165" fontId="20" fillId="0" borderId="1" xfId="15" applyNumberFormat="1" applyFont="1" applyBorder="1" applyAlignment="1">
      <alignment/>
    </xf>
    <xf numFmtId="165" fontId="0" fillId="0" borderId="0" xfId="15" applyNumberFormat="1" applyAlignment="1">
      <alignment/>
    </xf>
    <xf numFmtId="165" fontId="0" fillId="0" borderId="0" xfId="15" applyNumberFormat="1" applyAlignment="1">
      <alignment wrapText="1"/>
    </xf>
    <xf numFmtId="0" fontId="18" fillId="0" borderId="0" xfId="0" applyNumberFormat="1" applyFont="1" applyFill="1" applyBorder="1" applyAlignment="1" applyProtection="1">
      <alignment horizontal="left" wrapText="1" indent="1"/>
      <protection/>
    </xf>
    <xf numFmtId="166" fontId="0" fillId="0" borderId="0" xfId="21" applyNumberFormat="1" applyFont="1" applyAlignment="1">
      <alignment/>
    </xf>
    <xf numFmtId="165" fontId="12" fillId="0" borderId="0" xfId="15" applyNumberFormat="1" applyFont="1" applyAlignment="1">
      <alignment/>
    </xf>
    <xf numFmtId="166" fontId="0" fillId="0" borderId="1" xfId="21" applyNumberFormat="1" applyFont="1" applyBorder="1" applyAlignment="1">
      <alignment/>
    </xf>
    <xf numFmtId="165" fontId="0" fillId="0" borderId="1" xfId="15" applyNumberFormat="1" applyFont="1" applyBorder="1" applyAlignment="1">
      <alignment/>
    </xf>
    <xf numFmtId="165" fontId="0" fillId="0" borderId="0" xfId="15" applyNumberFormat="1" applyAlignment="1">
      <alignment/>
    </xf>
    <xf numFmtId="165" fontId="0" fillId="0" borderId="0" xfId="15" applyNumberFormat="1" applyAlignment="1">
      <alignment wrapText="1"/>
    </xf>
    <xf numFmtId="166" fontId="0" fillId="0" borderId="0" xfId="21" applyNumberFormat="1" applyFont="1" applyAlignment="1">
      <alignment/>
    </xf>
    <xf numFmtId="166" fontId="0" fillId="0" borderId="1" xfId="21" applyNumberFormat="1" applyFont="1" applyBorder="1" applyAlignment="1">
      <alignment/>
    </xf>
    <xf numFmtId="43" fontId="0" fillId="0" borderId="0" xfId="15" applyNumberFormat="1" applyAlignment="1">
      <alignment/>
    </xf>
    <xf numFmtId="165" fontId="0" fillId="0" borderId="0" xfId="15" applyNumberFormat="1" applyAlignment="1">
      <alignment vertical="top"/>
    </xf>
    <xf numFmtId="165" fontId="16" fillId="4" borderId="0" xfId="15" applyNumberFormat="1" applyFont="1" applyFill="1" applyAlignment="1">
      <alignment horizontal="center" vertical="center"/>
    </xf>
    <xf numFmtId="165" fontId="16" fillId="4" borderId="0" xfId="0" applyNumberFormat="1" applyFont="1" applyFill="1" applyAlignment="1">
      <alignment horizontal="center" vertical="center"/>
    </xf>
    <xf numFmtId="0" fontId="0" fillId="0" borderId="0" xfId="0" applyAlignment="1">
      <alignment/>
    </xf>
    <xf numFmtId="9" fontId="16" fillId="0" borderId="0" xfId="21" applyNumberFormat="1" applyFont="1" applyAlignment="1">
      <alignment/>
    </xf>
    <xf numFmtId="9" fontId="0" fillId="4" borderId="0" xfId="21" applyNumberFormat="1" applyFill="1" applyAlignment="1">
      <alignment/>
    </xf>
    <xf numFmtId="165" fontId="3" fillId="0" borderId="0" xfId="15" applyNumberFormat="1" applyFont="1" applyFill="1" applyAlignment="1">
      <alignment vertical="center"/>
    </xf>
    <xf numFmtId="0" fontId="0" fillId="0" borderId="0" xfId="0" applyFill="1" applyAlignment="1">
      <alignment vertical="center"/>
    </xf>
    <xf numFmtId="165" fontId="16" fillId="0" borderId="0" xfId="15" applyNumberFormat="1" applyFont="1" applyAlignment="1">
      <alignment vertical="top" wrapText="1"/>
    </xf>
    <xf numFmtId="165" fontId="16" fillId="0" borderId="1" xfId="15" applyNumberFormat="1" applyFont="1" applyBorder="1" applyAlignment="1">
      <alignment vertical="top" wrapText="1"/>
    </xf>
    <xf numFmtId="165" fontId="16" fillId="0" borderId="0" xfId="15" applyNumberFormat="1" applyFont="1" applyAlignment="1">
      <alignment horizontal="center"/>
    </xf>
    <xf numFmtId="165" fontId="25" fillId="3" borderId="0" xfId="15" applyNumberFormat="1" applyFont="1" applyFill="1" applyAlignment="1">
      <alignment horizontal="left" vertical="center" indent="1"/>
    </xf>
    <xf numFmtId="165" fontId="8" fillId="4" borderId="0" xfId="15" applyNumberFormat="1" applyFont="1" applyFill="1" applyAlignment="1">
      <alignment/>
    </xf>
    <xf numFmtId="165" fontId="24" fillId="4" borderId="0" xfId="15" applyNumberFormat="1" applyFont="1" applyFill="1" applyAlignment="1">
      <alignment/>
    </xf>
    <xf numFmtId="165" fontId="24" fillId="4" borderId="1" xfId="15" applyNumberFormat="1" applyFont="1" applyFill="1" applyBorder="1" applyAlignment="1">
      <alignment/>
    </xf>
    <xf numFmtId="165" fontId="24" fillId="4" borderId="0" xfId="15" applyNumberFormat="1" applyFont="1" applyFill="1" applyAlignment="1">
      <alignment vertical="top" wrapText="1"/>
    </xf>
    <xf numFmtId="165" fontId="24" fillId="4" borderId="1" xfId="15" applyNumberFormat="1" applyFont="1" applyFill="1" applyBorder="1" applyAlignment="1">
      <alignment vertical="top" wrapText="1"/>
    </xf>
    <xf numFmtId="165" fontId="24" fillId="0" borderId="0" xfId="15" applyNumberFormat="1" applyFont="1" applyAlignment="1">
      <alignment/>
    </xf>
    <xf numFmtId="1" fontId="1" fillId="0" borderId="1" xfId="15" applyNumberFormat="1" applyFont="1" applyBorder="1" applyAlignment="1">
      <alignment horizontal="left" vertical="center" indent="5"/>
    </xf>
    <xf numFmtId="165" fontId="0" fillId="0" borderId="0" xfId="15" applyNumberFormat="1" applyFill="1" applyAlignment="1">
      <alignment horizontal="left" vertical="center" indent="5"/>
    </xf>
    <xf numFmtId="43" fontId="4" fillId="0" borderId="0" xfId="15" applyFont="1" applyAlignment="1">
      <alignment/>
    </xf>
    <xf numFmtId="43" fontId="27" fillId="0" borderId="0" xfId="15" applyFont="1" applyAlignment="1">
      <alignment horizontal="center"/>
    </xf>
    <xf numFmtId="0" fontId="28" fillId="0" borderId="0" xfId="0" applyFont="1" applyAlignment="1">
      <alignment/>
    </xf>
    <xf numFmtId="165" fontId="24" fillId="0" borderId="1" xfId="15" applyNumberFormat="1" applyFont="1" applyBorder="1" applyAlignment="1">
      <alignment/>
    </xf>
    <xf numFmtId="43" fontId="29" fillId="0" borderId="10" xfId="15" applyFont="1" applyBorder="1" applyAlignment="1">
      <alignment horizontal="center"/>
    </xf>
    <xf numFmtId="0" fontId="28" fillId="0" borderId="10" xfId="0" applyFont="1" applyBorder="1" applyAlignment="1">
      <alignment/>
    </xf>
    <xf numFmtId="0" fontId="22" fillId="0" borderId="0" xfId="0" applyNumberFormat="1" applyFont="1" applyFill="1" applyBorder="1" applyAlignment="1" applyProtection="1">
      <alignment horizontal="left" vertical="top" wrapText="1" indent="1"/>
      <protection/>
    </xf>
    <xf numFmtId="0" fontId="0" fillId="0" borderId="0" xfId="0" applyAlignment="1">
      <alignment/>
    </xf>
    <xf numFmtId="0" fontId="18" fillId="0" borderId="0" xfId="0" applyNumberFormat="1" applyFont="1" applyFill="1" applyBorder="1" applyAlignment="1" applyProtection="1">
      <alignment horizontal="left" vertical="top" wrapText="1" indent="1"/>
      <protection/>
    </xf>
    <xf numFmtId="0" fontId="0" fillId="0" borderId="0" xfId="0" applyAlignment="1">
      <alignment horizontal="left" vertical="top" wrapText="1" indent="1"/>
    </xf>
    <xf numFmtId="0" fontId="0" fillId="0" borderId="0" xfId="0" applyAlignment="1">
      <alignment wrapText="1"/>
    </xf>
    <xf numFmtId="0" fontId="0" fillId="0" borderId="0" xfId="0" applyFont="1" applyAlignment="1">
      <alignment/>
    </xf>
    <xf numFmtId="165" fontId="3" fillId="4" borderId="0" xfId="15" applyNumberFormat="1" applyFont="1" applyFill="1" applyAlignment="1">
      <alignment vertical="center"/>
    </xf>
    <xf numFmtId="0" fontId="0" fillId="0" borderId="0" xfId="0"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19</xdr:row>
      <xdr:rowOff>57150</xdr:rowOff>
    </xdr:from>
    <xdr:to>
      <xdr:col>8</xdr:col>
      <xdr:colOff>123825</xdr:colOff>
      <xdr:row>21</xdr:row>
      <xdr:rowOff>200025</xdr:rowOff>
    </xdr:to>
    <xdr:pic>
      <xdr:nvPicPr>
        <xdr:cNvPr id="1" name="Picture 1"/>
        <xdr:cNvPicPr preferRelativeResize="1">
          <a:picLocks noChangeAspect="1"/>
        </xdr:cNvPicPr>
      </xdr:nvPicPr>
      <xdr:blipFill>
        <a:blip r:embed="rId1"/>
        <a:stretch>
          <a:fillRect/>
        </a:stretch>
      </xdr:blipFill>
      <xdr:spPr>
        <a:xfrm>
          <a:off x="1657350" y="4705350"/>
          <a:ext cx="42672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1:J23"/>
  <sheetViews>
    <sheetView showGridLines="0" tabSelected="1" workbookViewId="0" topLeftCell="A1">
      <selection activeCell="A1" sqref="A1"/>
    </sheetView>
  </sheetViews>
  <sheetFormatPr defaultColWidth="8.88671875" defaultRowHeight="15.75"/>
  <cols>
    <col min="1" max="1" width="5.4453125" style="158" customWidth="1"/>
    <col min="2" max="10" width="8.88671875" style="158" customWidth="1"/>
    <col min="11" max="11" width="7.99609375" style="158" customWidth="1"/>
    <col min="12" max="16384" width="10.6640625" style="158" customWidth="1"/>
  </cols>
  <sheetData>
    <row r="1" spans="2:10" ht="46.5" thickBot="1">
      <c r="B1" s="162" t="s">
        <v>11</v>
      </c>
      <c r="C1" s="163"/>
      <c r="D1" s="163"/>
      <c r="E1" s="163"/>
      <c r="F1" s="163"/>
      <c r="G1" s="163"/>
      <c r="H1" s="163"/>
      <c r="I1" s="163"/>
      <c r="J1" s="163"/>
    </row>
    <row r="2" spans="2:10" ht="15.75" customHeight="1" thickTop="1">
      <c r="B2" s="159"/>
      <c r="C2" s="160"/>
      <c r="D2" s="160"/>
      <c r="E2" s="160"/>
      <c r="F2" s="160"/>
      <c r="G2" s="160"/>
      <c r="H2" s="160"/>
      <c r="I2" s="160"/>
      <c r="J2" s="160"/>
    </row>
    <row r="4" spans="2:10" ht="18">
      <c r="B4" s="164" t="s">
        <v>7</v>
      </c>
      <c r="C4" s="165"/>
      <c r="D4" s="165"/>
      <c r="E4" s="165"/>
      <c r="F4" s="165"/>
      <c r="G4" s="165"/>
      <c r="H4" s="165"/>
      <c r="I4" s="165"/>
      <c r="J4" s="165"/>
    </row>
    <row r="5" spans="2:10" ht="18">
      <c r="B5" s="165"/>
      <c r="C5" s="165"/>
      <c r="D5" s="165"/>
      <c r="E5" s="165"/>
      <c r="F5" s="165"/>
      <c r="G5" s="165"/>
      <c r="H5" s="165"/>
      <c r="I5" s="165"/>
      <c r="J5" s="165"/>
    </row>
    <row r="6" spans="2:10" ht="18">
      <c r="B6" s="165"/>
      <c r="C6" s="165"/>
      <c r="D6" s="165"/>
      <c r="E6" s="165"/>
      <c r="F6" s="165"/>
      <c r="G6" s="165"/>
      <c r="H6" s="165"/>
      <c r="I6" s="165"/>
      <c r="J6" s="165"/>
    </row>
    <row r="7" spans="2:10" ht="18">
      <c r="B7" s="165"/>
      <c r="C7" s="165"/>
      <c r="D7" s="165"/>
      <c r="E7" s="165"/>
      <c r="F7" s="165"/>
      <c r="G7" s="165"/>
      <c r="H7" s="165"/>
      <c r="I7" s="165"/>
      <c r="J7" s="165"/>
    </row>
    <row r="8" spans="2:10" ht="18">
      <c r="B8" s="165"/>
      <c r="C8" s="165"/>
      <c r="D8" s="165"/>
      <c r="E8" s="165"/>
      <c r="F8" s="165"/>
      <c r="G8" s="165"/>
      <c r="H8" s="165"/>
      <c r="I8" s="165"/>
      <c r="J8" s="165"/>
    </row>
    <row r="9" spans="2:10" ht="18">
      <c r="B9" s="165"/>
      <c r="C9" s="165"/>
      <c r="D9" s="165"/>
      <c r="E9" s="165"/>
      <c r="F9" s="165"/>
      <c r="G9" s="165"/>
      <c r="H9" s="165"/>
      <c r="I9" s="165"/>
      <c r="J9" s="165"/>
    </row>
    <row r="10" spans="3:10" ht="18">
      <c r="C10" s="141"/>
      <c r="D10" s="141"/>
      <c r="E10" s="141"/>
      <c r="F10" s="141"/>
      <c r="G10" s="141"/>
      <c r="H10" s="141"/>
      <c r="I10" s="141"/>
      <c r="J10" s="141"/>
    </row>
    <row r="11" spans="2:10" ht="18">
      <c r="B11" s="164" t="s">
        <v>5</v>
      </c>
      <c r="C11" s="165"/>
      <c r="D11" s="165"/>
      <c r="E11" s="165"/>
      <c r="F11" s="165"/>
      <c r="G11" s="165"/>
      <c r="H11" s="165"/>
      <c r="I11" s="165"/>
      <c r="J11" s="141"/>
    </row>
    <row r="12" spans="2:10" ht="18">
      <c r="B12" s="165"/>
      <c r="C12" s="165"/>
      <c r="D12" s="165"/>
      <c r="E12" s="165"/>
      <c r="F12" s="165"/>
      <c r="G12" s="165"/>
      <c r="H12" s="165"/>
      <c r="I12" s="165"/>
      <c r="J12" s="141"/>
    </row>
    <row r="13" spans="2:10" ht="18">
      <c r="B13" s="165"/>
      <c r="C13" s="165"/>
      <c r="D13" s="165"/>
      <c r="E13" s="165"/>
      <c r="F13" s="165"/>
      <c r="G13" s="165"/>
      <c r="H13" s="165"/>
      <c r="I13" s="165"/>
      <c r="J13" s="141"/>
    </row>
    <row r="14" spans="2:10" ht="18">
      <c r="B14" s="165"/>
      <c r="C14" s="165"/>
      <c r="D14" s="165"/>
      <c r="E14" s="165"/>
      <c r="F14" s="165"/>
      <c r="G14" s="165"/>
      <c r="H14" s="165"/>
      <c r="I14" s="165"/>
      <c r="J14" s="141"/>
    </row>
    <row r="15" spans="2:10" ht="18">
      <c r="B15" s="141"/>
      <c r="C15" s="141"/>
      <c r="D15" s="141"/>
      <c r="E15" s="141"/>
      <c r="F15" s="141"/>
      <c r="G15" s="141"/>
      <c r="H15" s="141"/>
      <c r="I15" s="141"/>
      <c r="J15" s="141"/>
    </row>
    <row r="16" spans="2:10" ht="18">
      <c r="B16" s="164" t="s">
        <v>6</v>
      </c>
      <c r="C16" s="165"/>
      <c r="D16" s="165"/>
      <c r="E16" s="165"/>
      <c r="F16" s="165"/>
      <c r="G16" s="165"/>
      <c r="H16" s="165"/>
      <c r="I16" s="165"/>
      <c r="J16" s="141"/>
    </row>
    <row r="17" spans="2:9" ht="18">
      <c r="B17" s="165"/>
      <c r="C17" s="165"/>
      <c r="D17" s="165"/>
      <c r="E17" s="165"/>
      <c r="F17" s="165"/>
      <c r="G17" s="165"/>
      <c r="H17" s="165"/>
      <c r="I17" s="165"/>
    </row>
    <row r="18" spans="2:9" ht="18">
      <c r="B18" s="165"/>
      <c r="C18" s="165"/>
      <c r="D18" s="165"/>
      <c r="E18" s="165"/>
      <c r="F18" s="165"/>
      <c r="G18" s="165"/>
      <c r="H18" s="165"/>
      <c r="I18" s="165"/>
    </row>
    <row r="19" spans="2:9" ht="18">
      <c r="B19" s="165"/>
      <c r="C19" s="165"/>
      <c r="D19" s="165"/>
      <c r="E19" s="165"/>
      <c r="F19" s="165"/>
      <c r="G19" s="165"/>
      <c r="H19" s="165"/>
      <c r="I19" s="165"/>
    </row>
    <row r="20" ht="18"/>
    <row r="21" ht="18"/>
    <row r="22" ht="24.75" customHeight="1"/>
    <row r="23" ht="18">
      <c r="E23" s="158" t="s">
        <v>140</v>
      </c>
    </row>
  </sheetData>
  <mergeCells count="4">
    <mergeCell ref="B1:J1"/>
    <mergeCell ref="B4:J9"/>
    <mergeCell ref="B11:I14"/>
    <mergeCell ref="B16:I19"/>
  </mergeCells>
  <printOptions horizontalCentered="1"/>
  <pageMargins left="0.75" right="0.75" top="1" bottom="1" header="0.5" footer="0.5"/>
  <pageSetup orientation="landscape" paperSize="9" scale="97"/>
  <headerFooter alignWithMargins="0">
    <oddHeader xml:space="preserve">&amp;C   </oddHeader>
    <oddFooter xml:space="preserve">&amp;L&amp;"AGaramond,Regular"&amp;A&amp;R&amp;"AGaramond,Regular"EVA is a trademark of Stern Stewart &amp; Co&amp;"Helvetica,Regular"              </oddFooter>
  </headerFooter>
  <drawing r:id="rId1"/>
</worksheet>
</file>

<file path=xl/worksheets/sheet2.xml><?xml version="1.0" encoding="utf-8"?>
<worksheet xmlns="http://schemas.openxmlformats.org/spreadsheetml/2006/main" xmlns:r="http://schemas.openxmlformats.org/officeDocument/2006/relationships">
  <dimension ref="A2:Q263"/>
  <sheetViews>
    <sheetView showGridLines="0" zoomScale="75" zoomScaleNormal="75" zoomScaleSheetLayoutView="100" workbookViewId="0" topLeftCell="A1">
      <selection activeCell="B175" sqref="B175"/>
    </sheetView>
  </sheetViews>
  <sheetFormatPr defaultColWidth="8.88671875" defaultRowHeight="15.75"/>
  <cols>
    <col min="1" max="1" width="3.10546875" style="1" customWidth="1"/>
    <col min="2" max="2" width="25.88671875" style="1" customWidth="1"/>
    <col min="3" max="3" width="7.6640625" style="1" customWidth="1"/>
    <col min="4" max="8" width="10.6640625" style="1" customWidth="1"/>
    <col min="9" max="9" width="2.4453125" style="1" customWidth="1"/>
    <col min="10" max="10" width="38.6640625" style="1" customWidth="1"/>
    <col min="11" max="11" width="1.5625" style="1" customWidth="1"/>
    <col min="12" max="16384" width="10.6640625" style="1" customWidth="1"/>
  </cols>
  <sheetData>
    <row r="1" ht="21" customHeight="1"/>
    <row r="2" spans="2:10" ht="40.5" customHeight="1">
      <c r="B2" s="149" t="s">
        <v>19</v>
      </c>
      <c r="C2" s="34"/>
      <c r="D2" s="34"/>
      <c r="E2" s="34"/>
      <c r="F2" s="34"/>
      <c r="G2" s="34"/>
      <c r="H2" s="34"/>
      <c r="I2" s="35"/>
      <c r="J2" s="73"/>
    </row>
    <row r="3" spans="2:10" ht="18" customHeight="1">
      <c r="B3" s="13"/>
      <c r="J3" s="73"/>
    </row>
    <row r="4" spans="2:10" ht="18" customHeight="1">
      <c r="B4" s="13"/>
      <c r="J4" s="73"/>
    </row>
    <row r="5" spans="2:10" ht="18" customHeight="1">
      <c r="B5" s="92" t="s">
        <v>85</v>
      </c>
      <c r="J5" s="73"/>
    </row>
    <row r="6" spans="3:4" ht="19.5" customHeight="1">
      <c r="C6" s="52"/>
      <c r="D6" s="85"/>
    </row>
    <row r="7" spans="2:10" ht="30.75" customHeight="1">
      <c r="B7" s="164" t="s">
        <v>2</v>
      </c>
      <c r="C7" s="168"/>
      <c r="D7" s="168"/>
      <c r="E7" s="168"/>
      <c r="F7" s="168"/>
      <c r="G7" s="168"/>
      <c r="H7" s="168"/>
      <c r="I7" s="168"/>
      <c r="J7" s="87"/>
    </row>
    <row r="8" spans="2:10" ht="30" customHeight="1">
      <c r="B8" s="168"/>
      <c r="C8" s="168"/>
      <c r="D8" s="168"/>
      <c r="E8" s="168"/>
      <c r="F8" s="168"/>
      <c r="G8" s="168"/>
      <c r="H8" s="168"/>
      <c r="I8" s="168"/>
      <c r="J8" s="87"/>
    </row>
    <row r="9" spans="2:10" ht="18" customHeight="1">
      <c r="B9" s="168"/>
      <c r="C9" s="168"/>
      <c r="D9" s="168"/>
      <c r="E9" s="168"/>
      <c r="F9" s="168"/>
      <c r="G9" s="168"/>
      <c r="H9" s="168"/>
      <c r="I9" s="168"/>
      <c r="J9" s="87"/>
    </row>
    <row r="10" spans="2:10" ht="18" customHeight="1">
      <c r="B10" s="168"/>
      <c r="C10" s="168"/>
      <c r="D10" s="168"/>
      <c r="E10" s="168"/>
      <c r="F10" s="168"/>
      <c r="G10" s="168"/>
      <c r="H10" s="168"/>
      <c r="I10" s="168"/>
      <c r="J10" s="87"/>
    </row>
    <row r="11" spans="2:10" ht="18" customHeight="1">
      <c r="B11" s="168"/>
      <c r="C11" s="168"/>
      <c r="D11" s="168"/>
      <c r="E11" s="168"/>
      <c r="F11" s="168"/>
      <c r="G11" s="168"/>
      <c r="H11" s="168"/>
      <c r="I11" s="168"/>
      <c r="J11" s="87"/>
    </row>
    <row r="12" spans="2:10" ht="18" customHeight="1">
      <c r="B12" s="168"/>
      <c r="C12" s="168"/>
      <c r="D12" s="168"/>
      <c r="E12" s="168"/>
      <c r="F12" s="168"/>
      <c r="G12" s="168"/>
      <c r="H12" s="168"/>
      <c r="I12" s="168"/>
      <c r="J12" s="87"/>
    </row>
    <row r="13" spans="2:10" ht="18" customHeight="1">
      <c r="B13" s="168"/>
      <c r="C13" s="168"/>
      <c r="D13" s="168"/>
      <c r="E13" s="168"/>
      <c r="F13" s="168"/>
      <c r="G13" s="168"/>
      <c r="H13" s="168"/>
      <c r="I13" s="168"/>
      <c r="J13" s="87"/>
    </row>
    <row r="14" spans="2:10" ht="18" customHeight="1">
      <c r="B14" s="168"/>
      <c r="C14" s="168"/>
      <c r="D14" s="168"/>
      <c r="E14" s="168"/>
      <c r="F14" s="168"/>
      <c r="G14" s="168"/>
      <c r="H14" s="168"/>
      <c r="I14" s="168"/>
      <c r="J14" s="87"/>
    </row>
    <row r="15" spans="2:10" ht="18" customHeight="1">
      <c r="B15" s="164" t="s">
        <v>0</v>
      </c>
      <c r="C15" s="165"/>
      <c r="D15" s="165"/>
      <c r="E15" s="165"/>
      <c r="F15" s="165"/>
      <c r="G15" s="165"/>
      <c r="H15" s="165"/>
      <c r="I15" s="165"/>
      <c r="J15" s="87"/>
    </row>
    <row r="16" spans="2:10" ht="18" customHeight="1">
      <c r="B16" s="165"/>
      <c r="C16" s="165"/>
      <c r="D16" s="165"/>
      <c r="E16" s="165"/>
      <c r="F16" s="165"/>
      <c r="G16" s="165"/>
      <c r="H16" s="165"/>
      <c r="I16" s="165"/>
      <c r="J16" s="87"/>
    </row>
    <row r="17" spans="2:10" ht="18" customHeight="1">
      <c r="B17" s="165"/>
      <c r="C17" s="165"/>
      <c r="D17" s="165"/>
      <c r="E17" s="165"/>
      <c r="F17" s="165"/>
      <c r="G17" s="165"/>
      <c r="H17" s="165"/>
      <c r="I17" s="165"/>
      <c r="J17" s="87"/>
    </row>
    <row r="18" spans="2:10" ht="18" customHeight="1">
      <c r="B18" s="165"/>
      <c r="C18" s="165"/>
      <c r="D18" s="165"/>
      <c r="E18" s="165"/>
      <c r="F18" s="165"/>
      <c r="G18" s="165"/>
      <c r="H18" s="165"/>
      <c r="I18" s="165"/>
      <c r="J18" s="87"/>
    </row>
    <row r="19" spans="2:10" ht="18" customHeight="1">
      <c r="B19" s="165"/>
      <c r="C19" s="165"/>
      <c r="D19" s="165"/>
      <c r="E19" s="165"/>
      <c r="F19" s="165"/>
      <c r="G19" s="165"/>
      <c r="H19" s="165"/>
      <c r="I19" s="165"/>
      <c r="J19" s="87"/>
    </row>
    <row r="20" spans="2:10" ht="18" customHeight="1">
      <c r="B20" s="165"/>
      <c r="C20" s="165"/>
      <c r="D20" s="165"/>
      <c r="E20" s="165"/>
      <c r="F20" s="165"/>
      <c r="G20" s="165"/>
      <c r="H20" s="165"/>
      <c r="I20" s="165"/>
      <c r="J20" s="87"/>
    </row>
    <row r="21" spans="2:10" ht="18" customHeight="1">
      <c r="B21" s="165"/>
      <c r="C21" s="165"/>
      <c r="D21" s="165"/>
      <c r="E21" s="165"/>
      <c r="F21" s="165"/>
      <c r="G21" s="165"/>
      <c r="H21" s="165"/>
      <c r="I21" s="165"/>
      <c r="J21" s="87"/>
    </row>
    <row r="22" spans="2:10" ht="18" customHeight="1">
      <c r="B22" s="165"/>
      <c r="C22" s="165"/>
      <c r="D22" s="165"/>
      <c r="E22" s="165"/>
      <c r="F22" s="165"/>
      <c r="G22" s="165"/>
      <c r="H22" s="165"/>
      <c r="I22" s="165"/>
      <c r="J22" s="87"/>
    </row>
    <row r="23" spans="2:10" ht="18" customHeight="1">
      <c r="B23" s="165"/>
      <c r="C23" s="165"/>
      <c r="D23" s="165"/>
      <c r="E23" s="165"/>
      <c r="F23" s="165"/>
      <c r="G23" s="165"/>
      <c r="H23" s="165"/>
      <c r="I23" s="165"/>
      <c r="J23" s="87"/>
    </row>
    <row r="24" spans="2:10" ht="18" customHeight="1">
      <c r="B24" s="165"/>
      <c r="C24" s="165"/>
      <c r="D24" s="165"/>
      <c r="E24" s="165"/>
      <c r="F24" s="165"/>
      <c r="G24" s="165"/>
      <c r="H24" s="165"/>
      <c r="I24" s="165"/>
      <c r="J24" s="87"/>
    </row>
    <row r="25" spans="2:10" ht="18" customHeight="1">
      <c r="B25" s="165"/>
      <c r="C25" s="165"/>
      <c r="D25" s="165"/>
      <c r="E25" s="165"/>
      <c r="F25" s="165"/>
      <c r="G25" s="165"/>
      <c r="H25" s="165"/>
      <c r="I25" s="165"/>
      <c r="J25" s="87"/>
    </row>
    <row r="26" spans="2:10" ht="18" customHeight="1">
      <c r="B26" s="164" t="s">
        <v>12</v>
      </c>
      <c r="C26" s="165"/>
      <c r="D26" s="165"/>
      <c r="E26" s="165"/>
      <c r="F26" s="165"/>
      <c r="G26" s="165"/>
      <c r="H26" s="165"/>
      <c r="I26" s="165"/>
      <c r="J26" s="87"/>
    </row>
    <row r="27" spans="2:10" ht="18" customHeight="1">
      <c r="B27" s="165"/>
      <c r="C27" s="165"/>
      <c r="D27" s="165"/>
      <c r="E27" s="165"/>
      <c r="F27" s="165"/>
      <c r="G27" s="165"/>
      <c r="H27" s="165"/>
      <c r="I27" s="165"/>
      <c r="J27" s="87"/>
    </row>
    <row r="28" spans="2:10" ht="18" customHeight="1">
      <c r="B28" s="165"/>
      <c r="C28" s="165"/>
      <c r="D28" s="165"/>
      <c r="E28" s="165"/>
      <c r="F28" s="165"/>
      <c r="G28" s="165"/>
      <c r="H28" s="165"/>
      <c r="I28" s="165"/>
      <c r="J28" s="87"/>
    </row>
    <row r="29" spans="2:10" ht="18" customHeight="1">
      <c r="B29" s="165"/>
      <c r="C29" s="165"/>
      <c r="D29" s="165"/>
      <c r="E29" s="165"/>
      <c r="F29" s="165"/>
      <c r="G29" s="165"/>
      <c r="H29" s="165"/>
      <c r="I29" s="165"/>
      <c r="J29" s="87"/>
    </row>
    <row r="30" spans="2:10" ht="18" customHeight="1">
      <c r="B30" s="165"/>
      <c r="C30" s="165"/>
      <c r="D30" s="165"/>
      <c r="E30" s="165"/>
      <c r="F30" s="165"/>
      <c r="G30" s="165"/>
      <c r="H30" s="165"/>
      <c r="I30" s="165"/>
      <c r="J30" s="87"/>
    </row>
    <row r="31" spans="2:10" ht="18" customHeight="1">
      <c r="B31" s="165"/>
      <c r="C31" s="165"/>
      <c r="D31" s="165"/>
      <c r="E31" s="165"/>
      <c r="F31" s="165"/>
      <c r="G31" s="165"/>
      <c r="H31" s="165"/>
      <c r="I31" s="165"/>
      <c r="J31" s="87"/>
    </row>
    <row r="32" spans="2:9" ht="18" customHeight="1">
      <c r="B32" s="166" t="s">
        <v>10</v>
      </c>
      <c r="C32" s="169"/>
      <c r="D32" s="169"/>
      <c r="E32" s="169"/>
      <c r="F32" s="169"/>
      <c r="G32" s="169"/>
      <c r="H32" s="169"/>
      <c r="I32" s="169"/>
    </row>
    <row r="33" spans="2:10" ht="15.75">
      <c r="B33" s="169" t="s">
        <v>73</v>
      </c>
      <c r="C33" s="169"/>
      <c r="D33" s="169"/>
      <c r="E33" s="169"/>
      <c r="F33" s="169"/>
      <c r="G33" s="169"/>
      <c r="H33" s="169"/>
      <c r="I33" s="169"/>
      <c r="J33" s="73"/>
    </row>
    <row r="34" spans="2:10" ht="15.75">
      <c r="B34" s="169" t="s">
        <v>112</v>
      </c>
      <c r="C34" s="169"/>
      <c r="D34" s="169"/>
      <c r="E34" s="169"/>
      <c r="F34" s="169"/>
      <c r="G34" s="169"/>
      <c r="H34" s="169"/>
      <c r="I34" s="169"/>
      <c r="J34" s="45"/>
    </row>
    <row r="35" spans="2:10" ht="15.75">
      <c r="B35" s="169" t="s">
        <v>78</v>
      </c>
      <c r="C35" s="169"/>
      <c r="D35" s="169"/>
      <c r="E35" s="169"/>
      <c r="F35" s="169"/>
      <c r="G35" s="169"/>
      <c r="H35" s="169"/>
      <c r="I35" s="169"/>
      <c r="J35" s="45"/>
    </row>
    <row r="36" spans="2:10" ht="15.75">
      <c r="B36" s="169"/>
      <c r="C36" s="169"/>
      <c r="D36" s="169"/>
      <c r="E36" s="169"/>
      <c r="F36" s="169"/>
      <c r="G36" s="169"/>
      <c r="H36" s="169"/>
      <c r="I36" s="169"/>
      <c r="J36" s="45"/>
    </row>
    <row r="37" spans="2:10" ht="15.75">
      <c r="B37" s="169"/>
      <c r="C37" s="169"/>
      <c r="D37" s="169"/>
      <c r="E37" s="169"/>
      <c r="F37" s="169"/>
      <c r="G37" s="169"/>
      <c r="H37" s="169"/>
      <c r="I37" s="169"/>
      <c r="J37" s="45"/>
    </row>
    <row r="38" spans="2:10" ht="40.5" customHeight="1">
      <c r="B38" s="149" t="s">
        <v>8</v>
      </c>
      <c r="C38" s="34"/>
      <c r="D38" s="34"/>
      <c r="E38" s="34"/>
      <c r="F38" s="34"/>
      <c r="G38" s="34"/>
      <c r="H38" s="34"/>
      <c r="I38" s="35"/>
      <c r="J38" s="45"/>
    </row>
    <row r="39" ht="24.75" customHeight="1">
      <c r="J39" s="45"/>
    </row>
    <row r="40" spans="2:10" s="7" customFormat="1" ht="19.5" customHeight="1">
      <c r="B40" s="6" t="s">
        <v>120</v>
      </c>
      <c r="C40" s="6"/>
      <c r="D40" s="19">
        <v>1</v>
      </c>
      <c r="E40" s="19">
        <v>2</v>
      </c>
      <c r="F40" s="19">
        <v>3</v>
      </c>
      <c r="G40" s="19">
        <v>4</v>
      </c>
      <c r="H40" s="19">
        <v>5</v>
      </c>
      <c r="J40" s="48"/>
    </row>
    <row r="41" ht="18" customHeight="1">
      <c r="J41" s="45"/>
    </row>
    <row r="42" spans="2:10" ht="15.75">
      <c r="B42" s="1" t="s">
        <v>119</v>
      </c>
      <c r="D42" s="124">
        <v>130984.3744</v>
      </c>
      <c r="E42" s="124">
        <v>124530.47799412</v>
      </c>
      <c r="F42" s="124">
        <v>134801.41046724</v>
      </c>
      <c r="G42" s="124">
        <v>152327.13700644</v>
      </c>
      <c r="H42" s="124">
        <v>181172.99186624002</v>
      </c>
      <c r="J42" s="45"/>
    </row>
    <row r="43" spans="2:10" ht="15.75" customHeight="1">
      <c r="B43" s="28" t="s">
        <v>72</v>
      </c>
      <c r="C43" s="23"/>
      <c r="D43" s="121">
        <f>(D42/114544.111)-1</f>
        <v>0.1435277925374967</v>
      </c>
      <c r="E43" s="121">
        <f>E42/D42-1</f>
        <v>-0.04927226194302459</v>
      </c>
      <c r="F43" s="121">
        <f>F42/E42-1</f>
        <v>0.0824772588892253</v>
      </c>
      <c r="G43" s="121">
        <f>G42/F42-1</f>
        <v>0.13001144779163254</v>
      </c>
      <c r="H43" s="121">
        <v>0.1</v>
      </c>
      <c r="J43" s="45"/>
    </row>
    <row r="44" spans="4:10" ht="15.75">
      <c r="D44" s="122"/>
      <c r="E44" s="122"/>
      <c r="F44" s="122"/>
      <c r="G44" s="122"/>
      <c r="H44" s="122"/>
      <c r="J44" s="45"/>
    </row>
    <row r="45" spans="2:10" ht="15.75">
      <c r="B45" s="3" t="s">
        <v>121</v>
      </c>
      <c r="D45" s="125">
        <v>95749.188876</v>
      </c>
      <c r="E45" s="125">
        <v>93425.318096</v>
      </c>
      <c r="F45" s="125">
        <v>100292.54061200001</v>
      </c>
      <c r="G45" s="125">
        <v>111952.695316</v>
      </c>
      <c r="H45" s="125">
        <v>137567.16723199998</v>
      </c>
      <c r="J45" s="49"/>
    </row>
    <row r="46" spans="2:10" ht="18.75" customHeight="1">
      <c r="B46" s="4" t="s">
        <v>122</v>
      </c>
      <c r="D46" s="122">
        <f>D42-D45</f>
        <v>35235.185524</v>
      </c>
      <c r="E46" s="122">
        <f>E42-E45</f>
        <v>31105.159898119993</v>
      </c>
      <c r="F46" s="122">
        <f>F42-F45</f>
        <v>34508.86985523999</v>
      </c>
      <c r="G46" s="122">
        <f>G42-G45</f>
        <v>40374.44169044</v>
      </c>
      <c r="H46" s="122">
        <f>H42-H45</f>
        <v>43605.82463424004</v>
      </c>
      <c r="J46" s="45"/>
    </row>
    <row r="47" spans="2:10" s="9" customFormat="1" ht="18.75" customHeight="1">
      <c r="B47" s="26" t="s">
        <v>75</v>
      </c>
      <c r="C47" s="27"/>
      <c r="D47" s="121">
        <f>D46/D42</f>
        <v>0.26900296837238624</v>
      </c>
      <c r="E47" s="121">
        <f>E46/E42</f>
        <v>0.2497794949408987</v>
      </c>
      <c r="F47" s="121">
        <f>F46/F42</f>
        <v>0.2559978396044044</v>
      </c>
      <c r="G47" s="121">
        <f>G46/G42</f>
        <v>0.2650508798621553</v>
      </c>
      <c r="H47" s="121">
        <f>H46/H42</f>
        <v>0.2406861209557891</v>
      </c>
      <c r="J47" s="50"/>
    </row>
    <row r="48" spans="4:10" ht="15.75">
      <c r="D48" s="122"/>
      <c r="E48" s="122"/>
      <c r="F48" s="122"/>
      <c r="G48" s="122"/>
      <c r="H48" s="122"/>
      <c r="J48" s="45"/>
    </row>
    <row r="49" spans="2:10" ht="18" customHeight="1">
      <c r="B49" s="3" t="s">
        <v>123</v>
      </c>
      <c r="D49" s="122">
        <v>15255.68748</v>
      </c>
      <c r="E49" s="122">
        <v>16258.042108</v>
      </c>
      <c r="F49" s="122">
        <v>16172.700148</v>
      </c>
      <c r="G49" s="122">
        <v>17487.166708</v>
      </c>
      <c r="H49" s="122">
        <v>19290.966640000002</v>
      </c>
      <c r="J49" s="45"/>
    </row>
    <row r="50" spans="2:10" ht="18" customHeight="1">
      <c r="B50" s="3" t="s">
        <v>17</v>
      </c>
      <c r="D50" s="125">
        <v>9602.167696</v>
      </c>
      <c r="E50" s="125">
        <v>9225.122808</v>
      </c>
      <c r="F50" s="125">
        <v>9015.776440000001</v>
      </c>
      <c r="G50" s="125">
        <v>8994.955552000001</v>
      </c>
      <c r="H50" s="125">
        <v>8321.854111999999</v>
      </c>
      <c r="J50" s="45"/>
    </row>
    <row r="51" spans="2:10" ht="18.75" customHeight="1">
      <c r="B51" s="4" t="s">
        <v>80</v>
      </c>
      <c r="D51" s="122">
        <f>D46-D49-D50</f>
        <v>10377.330348</v>
      </c>
      <c r="E51" s="122">
        <f>E46-E49-E50</f>
        <v>5621.994982119993</v>
      </c>
      <c r="F51" s="122">
        <f>F46-F49-F50</f>
        <v>9320.393267239986</v>
      </c>
      <c r="G51" s="122">
        <f>G46-G49-G50</f>
        <v>13892.319430439997</v>
      </c>
      <c r="H51" s="122">
        <f>H46-H49-H50</f>
        <v>15993.003882240037</v>
      </c>
      <c r="J51" s="45"/>
    </row>
    <row r="52" spans="2:10" ht="15.75">
      <c r="B52" s="25" t="s">
        <v>79</v>
      </c>
      <c r="C52" s="23"/>
      <c r="D52" s="121">
        <f>D51/D42</f>
        <v>0.07922571219304154</v>
      </c>
      <c r="E52" s="121">
        <f>E51/E42</f>
        <v>0.04514553443202434</v>
      </c>
      <c r="F52" s="121">
        <f>F51/F42</f>
        <v>0.0691416598308151</v>
      </c>
      <c r="G52" s="121">
        <f>G51/G42</f>
        <v>0.09120055495989966</v>
      </c>
      <c r="H52" s="121">
        <f>H51/H42</f>
        <v>0.08827476831672387</v>
      </c>
      <c r="J52" s="45"/>
    </row>
    <row r="53" spans="4:10" ht="15.75">
      <c r="D53" s="123"/>
      <c r="E53" s="123"/>
      <c r="F53" s="123"/>
      <c r="G53" s="123"/>
      <c r="H53" s="123"/>
      <c r="J53" s="45"/>
    </row>
    <row r="54" spans="2:10" ht="18" customHeight="1">
      <c r="B54" s="3" t="s">
        <v>124</v>
      </c>
      <c r="D54" s="122">
        <v>1813.374464</v>
      </c>
      <c r="E54" s="122">
        <v>1823.471188</v>
      </c>
      <c r="F54" s="122">
        <v>1801.92672</v>
      </c>
      <c r="G54" s="122">
        <v>1868.519356</v>
      </c>
      <c r="H54" s="122">
        <v>2063.936556</v>
      </c>
      <c r="J54" s="45"/>
    </row>
    <row r="55" spans="2:10" ht="18" customHeight="1">
      <c r="B55" s="3" t="s">
        <v>125</v>
      </c>
      <c r="D55" s="125">
        <v>149.50782</v>
      </c>
      <c r="E55" s="125">
        <v>-64.93396800000001</v>
      </c>
      <c r="F55" s="125">
        <v>-38.651316</v>
      </c>
      <c r="G55" s="125">
        <v>215.435572</v>
      </c>
      <c r="H55" s="125">
        <v>1395.108792</v>
      </c>
      <c r="J55" s="45"/>
    </row>
    <row r="56" spans="2:10" ht="18.75" customHeight="1">
      <c r="B56" s="4" t="s">
        <v>126</v>
      </c>
      <c r="D56" s="122">
        <f>D51-D54-D55</f>
        <v>8414.448063999998</v>
      </c>
      <c r="E56" s="122">
        <f>E51-E54-E55</f>
        <v>3863.4577621199933</v>
      </c>
      <c r="F56" s="122">
        <f>F51-F54-F55</f>
        <v>7557.117863239987</v>
      </c>
      <c r="G56" s="122">
        <f>G51-G54-G55</f>
        <v>11808.364502439996</v>
      </c>
      <c r="H56" s="122">
        <f>H51-H54-H55</f>
        <v>12533.958534240035</v>
      </c>
      <c r="J56" s="45"/>
    </row>
    <row r="57" spans="4:10" ht="15.75">
      <c r="D57" s="122"/>
      <c r="E57" s="122"/>
      <c r="F57" s="122"/>
      <c r="G57" s="122"/>
      <c r="H57" s="122"/>
      <c r="J57" s="45"/>
    </row>
    <row r="58" spans="2:10" ht="15.75">
      <c r="B58" s="3" t="s">
        <v>127</v>
      </c>
      <c r="D58" s="125">
        <f>D56*t</f>
        <v>2860.9123417599994</v>
      </c>
      <c r="E58" s="125">
        <f>E56*t</f>
        <v>1313.5756391207979</v>
      </c>
      <c r="F58" s="125">
        <f>F56*t</f>
        <v>2569.4200735015957</v>
      </c>
      <c r="G58" s="125">
        <f>G56*t</f>
        <v>4014.843930829599</v>
      </c>
      <c r="H58" s="125">
        <f>H56*t</f>
        <v>4261.5459016416125</v>
      </c>
      <c r="J58" s="45"/>
    </row>
    <row r="59" spans="2:10" ht="18.75" customHeight="1">
      <c r="B59" s="4" t="s">
        <v>128</v>
      </c>
      <c r="D59" s="122">
        <f>D56-D58</f>
        <v>5553.535722239999</v>
      </c>
      <c r="E59" s="122">
        <f>E56-E58</f>
        <v>2549.8821229991954</v>
      </c>
      <c r="F59" s="122">
        <f>F56-F58</f>
        <v>4987.697789738391</v>
      </c>
      <c r="G59" s="122">
        <f>G56-G58</f>
        <v>7793.520571610397</v>
      </c>
      <c r="H59" s="122">
        <f>H56-H58</f>
        <v>8272.412632598422</v>
      </c>
      <c r="J59" s="45"/>
    </row>
    <row r="60" spans="2:10" ht="15.75">
      <c r="B60" s="25" t="s">
        <v>92</v>
      </c>
      <c r="C60" s="23"/>
      <c r="D60" s="24">
        <f>D59/D42</f>
        <v>0.042398459722230795</v>
      </c>
      <c r="E60" s="24">
        <f>E59/E42</f>
        <v>0.02047596832575873</v>
      </c>
      <c r="F60" s="24">
        <f>F59/F42</f>
        <v>0.03700033829357092</v>
      </c>
      <c r="G60" s="24">
        <f>G59/G42</f>
        <v>0.051163047666817944</v>
      </c>
      <c r="H60" s="24">
        <f>H59/H42</f>
        <v>0.04566029708614594</v>
      </c>
      <c r="J60" s="45"/>
    </row>
    <row r="61" spans="2:10" ht="15.75">
      <c r="B61" s="25"/>
      <c r="C61" s="23"/>
      <c r="D61" s="24"/>
      <c r="E61" s="24"/>
      <c r="F61" s="24"/>
      <c r="G61" s="24"/>
      <c r="H61" s="24"/>
      <c r="J61" s="45"/>
    </row>
    <row r="62" spans="2:8" s="12" customFormat="1" ht="15.75">
      <c r="B62" s="30" t="s">
        <v>129</v>
      </c>
      <c r="D62" s="12">
        <f>D51+D50-D55</f>
        <v>19829.990224</v>
      </c>
      <c r="E62" s="12">
        <f>E51+E50-E55</f>
        <v>14912.051758119993</v>
      </c>
      <c r="F62" s="12">
        <f>F51+F50-F55</f>
        <v>18374.821023239987</v>
      </c>
      <c r="G62" s="12">
        <f>G51+G50-G55</f>
        <v>22671.83941044</v>
      </c>
      <c r="H62" s="12">
        <f>H51+H50-H55</f>
        <v>22919.749202240037</v>
      </c>
    </row>
    <row r="63" spans="2:8" s="23" customFormat="1" ht="12.75">
      <c r="B63" s="25" t="s">
        <v>114</v>
      </c>
      <c r="D63" s="24">
        <f>D62/D42</f>
        <v>0.15139202912435334</v>
      </c>
      <c r="E63" s="24">
        <f>E62/E42</f>
        <v>0.11974620188018632</v>
      </c>
      <c r="F63" s="24">
        <f>F62/F42</f>
        <v>0.13631030238890202</v>
      </c>
      <c r="G63" s="24">
        <f>G62/G42</f>
        <v>0.14883650973812693</v>
      </c>
      <c r="H63" s="24">
        <f>H62/H42</f>
        <v>0.12650753827127656</v>
      </c>
    </row>
    <row r="64" ht="18" customHeight="1"/>
    <row r="65" ht="18" customHeight="1"/>
    <row r="66" spans="2:10" ht="19.5">
      <c r="B66" s="13" t="s">
        <v>73</v>
      </c>
      <c r="D66" s="12"/>
      <c r="E66" s="12"/>
      <c r="F66" s="12"/>
      <c r="G66" s="12"/>
      <c r="H66" s="12"/>
      <c r="J66" s="50"/>
    </row>
    <row r="67" spans="2:11" ht="19.5">
      <c r="B67" s="18" t="s">
        <v>18</v>
      </c>
      <c r="J67" s="73"/>
      <c r="K67" s="3" t="s">
        <v>74</v>
      </c>
    </row>
    <row r="68" spans="2:11" ht="15.75">
      <c r="B68" s="12" t="s">
        <v>78</v>
      </c>
      <c r="J68" s="45"/>
      <c r="K68" s="3"/>
    </row>
    <row r="69" spans="2:11" ht="15.75">
      <c r="B69" s="12"/>
      <c r="J69" s="45"/>
      <c r="K69" s="3"/>
    </row>
    <row r="70" ht="15.75">
      <c r="J70" s="45"/>
    </row>
    <row r="71" spans="2:10" ht="40.5" customHeight="1">
      <c r="B71" s="149" t="s">
        <v>130</v>
      </c>
      <c r="C71" s="34"/>
      <c r="D71" s="34"/>
      <c r="E71" s="34"/>
      <c r="F71" s="34"/>
      <c r="G71" s="34"/>
      <c r="H71" s="34"/>
      <c r="I71" s="35"/>
      <c r="J71" s="45"/>
    </row>
    <row r="72" spans="2:10" ht="18.75" customHeight="1">
      <c r="B72" s="45"/>
      <c r="C72" s="45"/>
      <c r="D72" s="45"/>
      <c r="E72" s="45"/>
      <c r="F72" s="45"/>
      <c r="G72" s="45"/>
      <c r="H72" s="45"/>
      <c r="I72" s="45"/>
      <c r="J72" s="45"/>
    </row>
    <row r="73" ht="15.75">
      <c r="J73" s="45"/>
    </row>
    <row r="74" spans="2:10" ht="15.75">
      <c r="B74" s="6" t="s">
        <v>120</v>
      </c>
      <c r="C74" s="6"/>
      <c r="D74" s="19">
        <v>1</v>
      </c>
      <c r="E74" s="19">
        <v>2</v>
      </c>
      <c r="F74" s="19">
        <v>3</v>
      </c>
      <c r="G74" s="19">
        <v>4</v>
      </c>
      <c r="H74" s="19">
        <v>5</v>
      </c>
      <c r="J74" s="45"/>
    </row>
    <row r="75" ht="15.75">
      <c r="J75" s="45"/>
    </row>
    <row r="76" spans="2:10" ht="15.75">
      <c r="B76" s="3" t="s">
        <v>131</v>
      </c>
      <c r="D76" s="155">
        <v>7084.04554</v>
      </c>
      <c r="E76" s="155">
        <v>9208.281104000002</v>
      </c>
      <c r="F76" s="155">
        <v>10070.926096</v>
      </c>
      <c r="G76" s="155">
        <v>14428.258064000001</v>
      </c>
      <c r="H76" s="155">
        <v>5190.122</v>
      </c>
      <c r="J76" s="45"/>
    </row>
    <row r="77" spans="2:10" ht="15.75">
      <c r="B77" s="3" t="s">
        <v>93</v>
      </c>
      <c r="D77" s="161">
        <v>14071.773980000002</v>
      </c>
      <c r="E77" s="161">
        <v>12472.416264000001</v>
      </c>
      <c r="F77" s="161">
        <v>13262.10314</v>
      </c>
      <c r="G77" s="161">
        <v>18028.393416</v>
      </c>
      <c r="H77" s="161">
        <v>19357.633</v>
      </c>
      <c r="J77" s="45"/>
    </row>
    <row r="78" spans="2:10" ht="18.75" customHeight="1">
      <c r="B78" s="4" t="s">
        <v>132</v>
      </c>
      <c r="D78" s="12">
        <f>SUM(D76:D77)</f>
        <v>21155.81952</v>
      </c>
      <c r="E78" s="12">
        <f>SUM(E76:E77)</f>
        <v>21680.697368</v>
      </c>
      <c r="F78" s="12">
        <f>SUM(F76:F77)</f>
        <v>23333.029236</v>
      </c>
      <c r="G78" s="12">
        <f>SUM(G76:G77)</f>
        <v>32456.65148</v>
      </c>
      <c r="H78" s="12">
        <f>SUM(H76:H77)</f>
        <v>24547.755</v>
      </c>
      <c r="J78" s="45"/>
    </row>
    <row r="79" spans="4:10" ht="15.75">
      <c r="D79" s="12"/>
      <c r="E79" s="12"/>
      <c r="F79" s="12"/>
      <c r="G79" s="12"/>
      <c r="H79" s="12"/>
      <c r="J79" s="45"/>
    </row>
    <row r="80" spans="2:10" ht="15.75">
      <c r="B80" s="3" t="s">
        <v>133</v>
      </c>
      <c r="D80" s="12">
        <v>95429.820904</v>
      </c>
      <c r="E80" s="12">
        <v>103595.901904</v>
      </c>
      <c r="F80" s="12">
        <v>113045.489348</v>
      </c>
      <c r="G80" s="12">
        <v>122537.49173600001</v>
      </c>
      <c r="H80" s="12">
        <v>136761.867</v>
      </c>
      <c r="J80" s="45"/>
    </row>
    <row r="81" spans="2:10" ht="15.75">
      <c r="B81" s="3" t="s">
        <v>134</v>
      </c>
      <c r="D81" s="132">
        <v>-45168.573736000006</v>
      </c>
      <c r="E81" s="132">
        <v>-54179.846776</v>
      </c>
      <c r="F81" s="132">
        <v>-60282.703668</v>
      </c>
      <c r="G81" s="132">
        <v>-68120.06784</v>
      </c>
      <c r="H81" s="132">
        <v>-72285.863</v>
      </c>
      <c r="J81" s="45"/>
    </row>
    <row r="82" spans="2:8" ht="18.75" customHeight="1">
      <c r="B82" s="4" t="s">
        <v>59</v>
      </c>
      <c r="D82" s="12">
        <f>SUM(D80:D81)</f>
        <v>50261.24716799999</v>
      </c>
      <c r="E82" s="12">
        <f>SUM(E80:E81)</f>
        <v>49416.055128</v>
      </c>
      <c r="F82" s="12">
        <f>SUM(F80:F81)</f>
        <v>52762.78568</v>
      </c>
      <c r="G82" s="12">
        <f>SUM(G80:G81)</f>
        <v>54417.42389600001</v>
      </c>
      <c r="H82" s="12">
        <f>SUM(H80:H81)</f>
        <v>64476.004</v>
      </c>
    </row>
    <row r="83" spans="4:8" ht="15.75">
      <c r="D83" s="12"/>
      <c r="E83" s="12"/>
      <c r="F83" s="12"/>
      <c r="G83" s="12"/>
      <c r="H83" s="12"/>
    </row>
    <row r="84" spans="2:8" ht="15.75">
      <c r="B84" s="3" t="s">
        <v>135</v>
      </c>
      <c r="D84" s="12">
        <v>1074.305804</v>
      </c>
      <c r="E84" s="12">
        <v>1963.812312</v>
      </c>
      <c r="F84" s="12">
        <v>1471.744516</v>
      </c>
      <c r="G84" s="12">
        <v>1398.35124</v>
      </c>
      <c r="H84" s="12">
        <v>3623.031</v>
      </c>
    </row>
    <row r="85" spans="2:8" ht="15.75">
      <c r="B85" s="3" t="s">
        <v>136</v>
      </c>
      <c r="D85" s="132">
        <v>0</v>
      </c>
      <c r="E85" s="132">
        <v>0</v>
      </c>
      <c r="F85" s="132">
        <v>0</v>
      </c>
      <c r="G85" s="132">
        <v>0</v>
      </c>
      <c r="H85" s="132">
        <v>0</v>
      </c>
    </row>
    <row r="86" spans="4:8" ht="15.75">
      <c r="D86" s="12"/>
      <c r="E86" s="12"/>
      <c r="F86" s="12"/>
      <c r="G86" s="12"/>
      <c r="H86" s="12"/>
    </row>
    <row r="87" spans="2:8" ht="15.75">
      <c r="B87" s="17" t="s">
        <v>58</v>
      </c>
      <c r="D87" s="12">
        <f>SUM(D78,D82,D84:D85)</f>
        <v>72491.372492</v>
      </c>
      <c r="E87" s="12">
        <f>SUM(E78,E82,E84:E85)</f>
        <v>73060.564808</v>
      </c>
      <c r="F87" s="12">
        <f>SUM(F78,F82,F84:F85)</f>
        <v>77567.55943200001</v>
      </c>
      <c r="G87" s="12">
        <f>SUM(G78,G82,G84:G85)</f>
        <v>88272.42661600001</v>
      </c>
      <c r="H87" s="12">
        <f>SUM(H78,H82,H84:H85)</f>
        <v>92646.79000000001</v>
      </c>
    </row>
    <row r="88" spans="4:8" ht="15.75">
      <c r="D88" s="12"/>
      <c r="E88" s="12"/>
      <c r="F88" s="12"/>
      <c r="G88" s="12"/>
      <c r="H88" s="12"/>
    </row>
    <row r="89" spans="2:8" ht="15.75">
      <c r="B89" s="3" t="s">
        <v>137</v>
      </c>
      <c r="D89" s="12">
        <f>0</f>
        <v>0</v>
      </c>
      <c r="E89" s="12">
        <f>0</f>
        <v>0</v>
      </c>
      <c r="F89" s="12">
        <f>0</f>
        <v>0</v>
      </c>
      <c r="G89" s="12">
        <f>0</f>
        <v>0</v>
      </c>
      <c r="H89" s="12">
        <f>0</f>
        <v>0</v>
      </c>
    </row>
    <row r="90" spans="2:8" ht="15.75">
      <c r="B90" s="3" t="s">
        <v>138</v>
      </c>
      <c r="D90" s="12">
        <v>3891.6540959999998</v>
      </c>
      <c r="E90" s="12">
        <v>3574.040932</v>
      </c>
      <c r="F90" s="12">
        <v>3845.9734280000002</v>
      </c>
      <c r="G90" s="12">
        <v>5950.227052</v>
      </c>
      <c r="H90" s="12">
        <v>4759.296</v>
      </c>
    </row>
    <row r="91" spans="2:8" ht="15.75">
      <c r="B91" s="3" t="s">
        <v>139</v>
      </c>
      <c r="D91" s="12">
        <v>11194.628632</v>
      </c>
      <c r="E91" s="12">
        <v>12092.804944</v>
      </c>
      <c r="F91" s="12">
        <v>12805.494812</v>
      </c>
      <c r="G91" s="12">
        <v>19056.006552</v>
      </c>
      <c r="H91" s="12">
        <v>14705.859</v>
      </c>
    </row>
    <row r="92" spans="2:8" ht="15.75">
      <c r="B92" s="3" t="s">
        <v>48</v>
      </c>
      <c r="D92" s="132">
        <v>1176.742468</v>
      </c>
      <c r="E92" s="132">
        <v>1197.765756</v>
      </c>
      <c r="F92" s="132">
        <v>61.86862</v>
      </c>
      <c r="G92" s="132">
        <v>3679.010632</v>
      </c>
      <c r="H92" s="132">
        <v>3638.249</v>
      </c>
    </row>
    <row r="93" spans="2:8" ht="18.75" customHeight="1">
      <c r="B93" s="4" t="s">
        <v>49</v>
      </c>
      <c r="D93" s="12">
        <f>SUM(D89:D92)</f>
        <v>16263.025196</v>
      </c>
      <c r="E93" s="12">
        <f>SUM(E89:E92)</f>
        <v>16864.611632</v>
      </c>
      <c r="F93" s="12">
        <f>SUM(F89:F92)</f>
        <v>16713.336860000003</v>
      </c>
      <c r="G93" s="12">
        <f>SUM(G89:G92)</f>
        <v>28685.244236000002</v>
      </c>
      <c r="H93" s="12">
        <f>SUM(H89:H92)</f>
        <v>23103.404</v>
      </c>
    </row>
    <row r="94" spans="4:8" ht="15.75">
      <c r="D94" s="12"/>
      <c r="E94" s="12"/>
      <c r="F94" s="12"/>
      <c r="G94" s="12"/>
      <c r="H94" s="12"/>
    </row>
    <row r="95" spans="2:8" ht="15.75">
      <c r="B95" s="3" t="s">
        <v>55</v>
      </c>
      <c r="D95" s="12">
        <v>34072.320612</v>
      </c>
      <c r="E95" s="12">
        <v>33215.158636</v>
      </c>
      <c r="F95" s="12">
        <v>33077.391028000005</v>
      </c>
      <c r="G95" s="12">
        <v>29394.714932</v>
      </c>
      <c r="H95" s="12">
        <v>25407.912</v>
      </c>
    </row>
    <row r="96" spans="2:8" ht="15.75">
      <c r="B96" s="3" t="s">
        <v>24</v>
      </c>
      <c r="D96" s="12">
        <v>723.985812</v>
      </c>
      <c r="E96" s="12">
        <v>928.657752</v>
      </c>
      <c r="F96" s="12">
        <v>1064.930636</v>
      </c>
      <c r="G96" s="12">
        <v>1522.47304</v>
      </c>
      <c r="H96" s="12">
        <v>1865.444</v>
      </c>
    </row>
    <row r="97" spans="4:8" ht="15.75">
      <c r="D97" s="12"/>
      <c r="E97" s="12"/>
      <c r="F97" s="12"/>
      <c r="G97" s="12"/>
      <c r="H97" s="12"/>
    </row>
    <row r="98" spans="2:8" ht="15.75">
      <c r="B98" s="4" t="s">
        <v>56</v>
      </c>
      <c r="D98" s="132">
        <v>21432.040871999998</v>
      </c>
      <c r="E98" s="132">
        <v>22052.136788</v>
      </c>
      <c r="F98" s="132">
        <v>26711.900908</v>
      </c>
      <c r="G98" s="132">
        <v>28669.994408</v>
      </c>
      <c r="H98" s="132">
        <v>42270.03</v>
      </c>
    </row>
    <row r="99" spans="4:8" ht="15.75">
      <c r="D99" s="12"/>
      <c r="E99" s="12"/>
      <c r="F99" s="12"/>
      <c r="G99" s="12"/>
      <c r="H99" s="12"/>
    </row>
    <row r="100" spans="2:8" ht="15.75">
      <c r="B100" s="22" t="s">
        <v>57</v>
      </c>
      <c r="D100" s="12">
        <f>SUM(D93:D98)</f>
        <v>72491.372492</v>
      </c>
      <c r="E100" s="12">
        <f>SUM(E93:E98)</f>
        <v>73060.564808</v>
      </c>
      <c r="F100" s="12">
        <f>SUM(F93:F98)</f>
        <v>77567.55943200001</v>
      </c>
      <c r="G100" s="12">
        <f>SUM(G93:G98)</f>
        <v>88272.426616</v>
      </c>
      <c r="H100" s="12">
        <f>SUM(H93:H98)</f>
        <v>92646.79000000001</v>
      </c>
    </row>
    <row r="101" ht="18" customHeight="1"/>
    <row r="102" spans="2:10" ht="18" customHeight="1">
      <c r="B102" s="13" t="s">
        <v>73</v>
      </c>
      <c r="J102" s="148" t="s">
        <v>37</v>
      </c>
    </row>
    <row r="103" ht="18" customHeight="1">
      <c r="B103" s="18" t="s">
        <v>76</v>
      </c>
    </row>
    <row r="104" ht="18" customHeight="1">
      <c r="B104" s="12" t="s">
        <v>78</v>
      </c>
    </row>
    <row r="105" ht="19.5">
      <c r="B105" s="13"/>
    </row>
    <row r="106" spans="2:11" ht="40.5" customHeight="1">
      <c r="B106" s="149" t="s">
        <v>97</v>
      </c>
      <c r="C106" s="53"/>
      <c r="D106" s="34"/>
      <c r="E106" s="34"/>
      <c r="F106" s="34"/>
      <c r="G106" s="34"/>
      <c r="H106" s="34"/>
      <c r="I106" s="35"/>
      <c r="J106" s="35"/>
      <c r="K106" s="35"/>
    </row>
    <row r="107" ht="18.75" customHeight="1"/>
    <row r="108" spans="2:11" ht="15.75">
      <c r="B108" s="6" t="s">
        <v>120</v>
      </c>
      <c r="C108" s="6"/>
      <c r="D108" s="19">
        <v>1</v>
      </c>
      <c r="E108" s="19">
        <v>2</v>
      </c>
      <c r="F108" s="19">
        <v>3</v>
      </c>
      <c r="G108" s="19">
        <v>4</v>
      </c>
      <c r="H108" s="19">
        <v>5</v>
      </c>
      <c r="I108" s="2"/>
      <c r="J108" s="32" t="s">
        <v>96</v>
      </c>
      <c r="K108" s="2"/>
    </row>
    <row r="109" ht="18" customHeight="1"/>
    <row r="110" spans="2:10" ht="15.75">
      <c r="B110" s="22" t="s">
        <v>80</v>
      </c>
      <c r="D110" s="1">
        <f>D51</f>
        <v>10377.330348</v>
      </c>
      <c r="E110" s="1">
        <f>E51</f>
        <v>5621.994982119993</v>
      </c>
      <c r="F110" s="1">
        <f>F51</f>
        <v>9320.393267239986</v>
      </c>
      <c r="G110" s="1">
        <f>G51</f>
        <v>13892.319430439997</v>
      </c>
      <c r="H110" s="1">
        <f>H51</f>
        <v>15993.003882240037</v>
      </c>
      <c r="J110" s="90" t="s">
        <v>27</v>
      </c>
    </row>
    <row r="111" spans="2:10" ht="15.75">
      <c r="B111" s="22"/>
      <c r="J111" s="90"/>
    </row>
    <row r="112" ht="18" customHeight="1">
      <c r="B112" s="3"/>
    </row>
    <row r="113" ht="18.75" customHeight="1">
      <c r="B113" s="74" t="s">
        <v>60</v>
      </c>
    </row>
    <row r="114" spans="2:17" ht="31.5" customHeight="1">
      <c r="B114" s="41" t="s">
        <v>61</v>
      </c>
      <c r="C114" s="42"/>
      <c r="D114" s="146">
        <v>0</v>
      </c>
      <c r="E114" s="146">
        <v>0</v>
      </c>
      <c r="F114" s="146">
        <v>0</v>
      </c>
      <c r="G114" s="146">
        <v>0</v>
      </c>
      <c r="H114" s="146">
        <v>0</v>
      </c>
      <c r="I114" s="42"/>
      <c r="J114" s="90" t="s">
        <v>113</v>
      </c>
      <c r="K114" s="91"/>
      <c r="L114" s="91"/>
      <c r="M114" s="91"/>
      <c r="N114" s="91"/>
      <c r="O114" s="91"/>
      <c r="P114" s="91"/>
      <c r="Q114" s="91"/>
    </row>
    <row r="115" spans="2:17" ht="18" customHeight="1">
      <c r="B115" s="41" t="s">
        <v>62</v>
      </c>
      <c r="C115" s="42"/>
      <c r="D115" s="146">
        <f>-D55</f>
        <v>-149.50782</v>
      </c>
      <c r="E115" s="146">
        <f>-E55</f>
        <v>64.93396800000001</v>
      </c>
      <c r="F115" s="146">
        <f>-F55</f>
        <v>38.651316</v>
      </c>
      <c r="G115" s="146">
        <f>-G55</f>
        <v>-215.435572</v>
      </c>
      <c r="H115" s="146">
        <f>-H55</f>
        <v>-1395.108792</v>
      </c>
      <c r="I115" s="42"/>
      <c r="J115" s="90"/>
      <c r="K115" s="91"/>
      <c r="L115" s="91"/>
      <c r="M115" s="91"/>
      <c r="N115" s="91"/>
      <c r="O115" s="91"/>
      <c r="P115" s="91"/>
      <c r="Q115" s="91"/>
    </row>
    <row r="116" spans="2:17" ht="19.5" customHeight="1">
      <c r="B116" s="41" t="s">
        <v>103</v>
      </c>
      <c r="C116" s="42"/>
      <c r="D116" s="146">
        <v>0</v>
      </c>
      <c r="E116" s="146">
        <v>0</v>
      </c>
      <c r="F116" s="146">
        <v>0</v>
      </c>
      <c r="G116" s="146">
        <f>Adjustments!I30</f>
        <v>1041</v>
      </c>
      <c r="H116" s="146">
        <f>Adjustments!J30-Adjustments!I30</f>
        <v>-376</v>
      </c>
      <c r="I116" s="42"/>
      <c r="J116" s="90" t="s">
        <v>34</v>
      </c>
      <c r="K116" s="91"/>
      <c r="L116" s="91"/>
      <c r="M116" s="91"/>
      <c r="N116" s="91"/>
      <c r="O116" s="91"/>
      <c r="P116" s="91"/>
      <c r="Q116" s="91"/>
    </row>
    <row r="117" spans="2:17" ht="33" customHeight="1">
      <c r="B117" s="41" t="s">
        <v>35</v>
      </c>
      <c r="C117" s="42"/>
      <c r="D117" s="146">
        <f>Adjustments!E48</f>
        <v>334.8333333333335</v>
      </c>
      <c r="E117" s="146">
        <f>Adjustments!F48</f>
        <v>-150.33333333333303</v>
      </c>
      <c r="F117" s="146">
        <f>Adjustments!G48</f>
        <v>-89</v>
      </c>
      <c r="G117" s="146">
        <f>Adjustments!H48</f>
        <v>17.66666666666697</v>
      </c>
      <c r="H117" s="146">
        <f>Adjustments!I48</f>
        <v>-79.98733333333348</v>
      </c>
      <c r="I117" s="42"/>
      <c r="J117" s="90" t="s">
        <v>107</v>
      </c>
      <c r="K117" s="91"/>
      <c r="L117" s="91"/>
      <c r="M117" s="91"/>
      <c r="N117" s="91"/>
      <c r="O117" s="91"/>
      <c r="P117" s="91"/>
      <c r="Q117" s="91"/>
    </row>
    <row r="118" spans="2:10" ht="18.75" customHeight="1">
      <c r="B118" s="41" t="s">
        <v>99</v>
      </c>
      <c r="C118" s="42"/>
      <c r="D118" s="146">
        <f>Adjustments!F16</f>
        <v>3257.214</v>
      </c>
      <c r="E118" s="146">
        <f>Adjustments!G16</f>
        <v>3223.96</v>
      </c>
      <c r="F118" s="146">
        <f>Adjustments!H16</f>
        <v>3411.793</v>
      </c>
      <c r="G118" s="146">
        <f>Adjustments!I16</f>
        <v>3471.426</v>
      </c>
      <c r="H118" s="146">
        <f>Adjustments!J16</f>
        <v>3218.019</v>
      </c>
      <c r="I118" s="42"/>
      <c r="J118" s="90" t="s">
        <v>110</v>
      </c>
    </row>
    <row r="119" spans="2:10" ht="21.75" customHeight="1">
      <c r="B119" s="41" t="s">
        <v>63</v>
      </c>
      <c r="C119" s="42"/>
      <c r="D119" s="146">
        <v>0</v>
      </c>
      <c r="E119" s="146">
        <v>0</v>
      </c>
      <c r="F119" s="146">
        <v>0</v>
      </c>
      <c r="G119" s="146">
        <v>0</v>
      </c>
      <c r="H119" s="146">
        <v>0</v>
      </c>
      <c r="I119" s="42"/>
      <c r="J119" s="44"/>
    </row>
    <row r="120" spans="2:10" ht="31.5" customHeight="1">
      <c r="B120" s="43" t="s">
        <v>36</v>
      </c>
      <c r="C120" s="42"/>
      <c r="D120" s="147">
        <f>t*-SUM(D110,D114:D119)</f>
        <v>-4698.755752853333</v>
      </c>
      <c r="E120" s="147">
        <f>t*-SUM(E110,E114:E119)</f>
        <v>-2978.5889097074646</v>
      </c>
      <c r="F120" s="147">
        <f>t*-SUM(F110,F114:F119)</f>
        <v>-4311.824778301595</v>
      </c>
      <c r="G120" s="147">
        <f>t*-SUM(G110,G114:G119)</f>
        <v>-6190.372018536266</v>
      </c>
      <c r="H120" s="147">
        <f>t*-SUM(H110,H114:H119)</f>
        <v>-5902.375097348279</v>
      </c>
      <c r="I120" s="42"/>
      <c r="J120" s="90" t="s">
        <v>106</v>
      </c>
    </row>
    <row r="121" ht="19.5" customHeight="1">
      <c r="J121" s="45"/>
    </row>
    <row r="122" spans="2:10" ht="27.75" customHeight="1">
      <c r="B122" s="14" t="s">
        <v>64</v>
      </c>
      <c r="C122" s="15"/>
      <c r="D122" s="15">
        <f>SUM(D110,D114:D120)</f>
        <v>9121.11410848</v>
      </c>
      <c r="E122" s="15">
        <f>SUM(E110,E114:E120)</f>
        <v>5781.966707079195</v>
      </c>
      <c r="F122" s="15">
        <f>SUM(F110,F114:F120)</f>
        <v>8370.01280493839</v>
      </c>
      <c r="G122" s="15">
        <f>SUM(G110,G114:G120)</f>
        <v>12016.604506570398</v>
      </c>
      <c r="H122" s="15">
        <f>SUM(H110,H114:H120)</f>
        <v>11457.551659558423</v>
      </c>
      <c r="J122" s="45"/>
    </row>
    <row r="123" spans="2:10" ht="27.75" customHeight="1">
      <c r="B123" s="45"/>
      <c r="C123" s="45"/>
      <c r="D123" s="45"/>
      <c r="E123" s="45"/>
      <c r="F123" s="45"/>
      <c r="G123" s="45"/>
      <c r="H123" s="45"/>
      <c r="J123" s="45"/>
    </row>
    <row r="124" spans="2:10" ht="19.5">
      <c r="B124" s="13" t="s">
        <v>73</v>
      </c>
      <c r="J124" s="148" t="s">
        <v>37</v>
      </c>
    </row>
    <row r="125" spans="2:10" ht="19.5">
      <c r="B125" s="18" t="s">
        <v>76</v>
      </c>
      <c r="J125" s="45"/>
    </row>
    <row r="126" spans="2:10" ht="15.75">
      <c r="B126" s="12" t="s">
        <v>78</v>
      </c>
      <c r="J126" s="45"/>
    </row>
    <row r="127" spans="2:10" ht="15.75">
      <c r="B127" s="12"/>
      <c r="J127" s="45"/>
    </row>
    <row r="128" ht="15.75">
      <c r="J128" s="45"/>
    </row>
    <row r="129" spans="1:11" ht="40.5" customHeight="1">
      <c r="A129" s="5"/>
      <c r="B129" s="149" t="s">
        <v>40</v>
      </c>
      <c r="C129" s="33"/>
      <c r="D129" s="33"/>
      <c r="E129" s="33"/>
      <c r="F129" s="33"/>
      <c r="G129" s="33"/>
      <c r="H129" s="33"/>
      <c r="I129" s="36"/>
      <c r="J129" s="46"/>
      <c r="K129" s="36"/>
    </row>
    <row r="130" spans="1:10" ht="24.75" customHeight="1">
      <c r="A130" s="21"/>
      <c r="B130" s="20"/>
      <c r="C130" s="21"/>
      <c r="D130" s="21"/>
      <c r="E130" s="21"/>
      <c r="F130" s="21"/>
      <c r="G130" s="21"/>
      <c r="H130" s="21"/>
      <c r="J130" s="45"/>
    </row>
    <row r="131" spans="1:11" ht="15.75">
      <c r="A131" s="21"/>
      <c r="B131" s="6" t="s">
        <v>120</v>
      </c>
      <c r="C131" s="6"/>
      <c r="D131" s="19">
        <v>1</v>
      </c>
      <c r="E131" s="19">
        <v>2</v>
      </c>
      <c r="F131" s="19">
        <v>3</v>
      </c>
      <c r="G131" s="19">
        <v>4</v>
      </c>
      <c r="H131" s="19">
        <v>5</v>
      </c>
      <c r="I131" s="2"/>
      <c r="J131" s="32" t="s">
        <v>96</v>
      </c>
      <c r="K131" s="2"/>
    </row>
    <row r="132" ht="18" customHeight="1">
      <c r="J132" s="45"/>
    </row>
    <row r="133" spans="2:10" ht="18" customHeight="1">
      <c r="B133" s="8" t="s">
        <v>65</v>
      </c>
      <c r="J133" s="45"/>
    </row>
    <row r="134" spans="2:10" ht="18" customHeight="1">
      <c r="B134" s="4" t="s">
        <v>66</v>
      </c>
      <c r="D134" s="42">
        <f>D89+D92+D95</f>
        <v>35249.06308</v>
      </c>
      <c r="E134" s="42">
        <f>E89+E92+E95</f>
        <v>34412.924392</v>
      </c>
      <c r="F134" s="42">
        <f>F89+F92+F95</f>
        <v>33139.25964800001</v>
      </c>
      <c r="G134" s="42">
        <f>G89+G92+G95</f>
        <v>33073.725564</v>
      </c>
      <c r="H134" s="42">
        <f>H89+H92+H95</f>
        <v>29046.161</v>
      </c>
      <c r="I134" s="42"/>
      <c r="J134" s="90" t="s">
        <v>108</v>
      </c>
    </row>
    <row r="135" spans="2:10" ht="18" customHeight="1">
      <c r="B135" s="4" t="s">
        <v>67</v>
      </c>
      <c r="D135" s="54">
        <f>D98</f>
        <v>21432.040871999998</v>
      </c>
      <c r="E135" s="54">
        <f>E98</f>
        <v>22052.136788</v>
      </c>
      <c r="F135" s="54">
        <f>F98</f>
        <v>26711.900908</v>
      </c>
      <c r="G135" s="54">
        <f>G98</f>
        <v>28669.994408</v>
      </c>
      <c r="H135" s="54">
        <f>G135+H59</f>
        <v>36942.407040598424</v>
      </c>
      <c r="I135" s="42"/>
      <c r="J135" s="90" t="s">
        <v>109</v>
      </c>
    </row>
    <row r="136" spans="2:10" s="126" customFormat="1" ht="18" customHeight="1">
      <c r="B136" s="10" t="s">
        <v>101</v>
      </c>
      <c r="D136" s="127">
        <f>SUM(D134:D135)</f>
        <v>56681.103952</v>
      </c>
      <c r="E136" s="127">
        <f>SUM(E134:E135)</f>
        <v>56465.061180000004</v>
      </c>
      <c r="F136" s="127">
        <f>SUM(F134:F135)</f>
        <v>59851.160556</v>
      </c>
      <c r="G136" s="127">
        <f>SUM(G134:G135)</f>
        <v>61743.719972</v>
      </c>
      <c r="H136" s="127">
        <f>SUM(H134:H135)</f>
        <v>65988.56804059842</v>
      </c>
      <c r="I136" s="127"/>
      <c r="J136" s="128"/>
    </row>
    <row r="137" spans="2:10" ht="18" customHeight="1">
      <c r="B137" s="10"/>
      <c r="D137" s="42"/>
      <c r="E137" s="42"/>
      <c r="F137" s="42"/>
      <c r="G137" s="42"/>
      <c r="H137" s="42"/>
      <c r="I137" s="42"/>
      <c r="J137" s="90"/>
    </row>
    <row r="138" spans="2:10" ht="18.75" customHeight="1">
      <c r="B138" s="74" t="s">
        <v>60</v>
      </c>
      <c r="D138" s="42"/>
      <c r="E138" s="42"/>
      <c r="F138" s="42"/>
      <c r="G138" s="42"/>
      <c r="H138" s="42"/>
      <c r="I138" s="42"/>
      <c r="J138" s="44"/>
    </row>
    <row r="139" spans="2:10" ht="18.75" customHeight="1">
      <c r="B139" s="56" t="s">
        <v>46</v>
      </c>
      <c r="D139" s="146">
        <f>Adjustments!E42</f>
        <v>6901.166666666666</v>
      </c>
      <c r="E139" s="146">
        <f>Adjustments!F42</f>
        <v>6750.833333333333</v>
      </c>
      <c r="F139" s="146">
        <f>Adjustments!G42</f>
        <v>6661.833333333333</v>
      </c>
      <c r="G139" s="146">
        <f>Adjustments!H42</f>
        <v>6679.5</v>
      </c>
      <c r="H139" s="146">
        <f>Adjustments!I42</f>
        <v>6599.5126666666665</v>
      </c>
      <c r="I139" s="42"/>
      <c r="J139" s="90" t="s">
        <v>39</v>
      </c>
    </row>
    <row r="140" spans="2:10" ht="18.75" customHeight="1">
      <c r="B140" s="56" t="s">
        <v>61</v>
      </c>
      <c r="D140" s="146">
        <v>0</v>
      </c>
      <c r="E140" s="146">
        <v>0</v>
      </c>
      <c r="F140" s="146">
        <v>0</v>
      </c>
      <c r="G140" s="146">
        <v>0</v>
      </c>
      <c r="H140" s="146">
        <v>0</v>
      </c>
      <c r="I140" s="42"/>
      <c r="J140" s="90" t="s">
        <v>13</v>
      </c>
    </row>
    <row r="141" spans="2:10" ht="18.75" customHeight="1">
      <c r="B141" s="56" t="s">
        <v>136</v>
      </c>
      <c r="D141" s="146">
        <v>0</v>
      </c>
      <c r="E141" s="146">
        <v>0</v>
      </c>
      <c r="F141" s="146">
        <v>0</v>
      </c>
      <c r="G141" s="146">
        <v>0</v>
      </c>
      <c r="H141" s="146">
        <v>0</v>
      </c>
      <c r="I141" s="42"/>
      <c r="J141" s="90" t="s">
        <v>30</v>
      </c>
    </row>
    <row r="142" spans="2:10" ht="15.75">
      <c r="B142" s="56" t="s">
        <v>51</v>
      </c>
      <c r="D142" s="147">
        <f>Adjustments!F18</f>
        <v>10558.167350882988</v>
      </c>
      <c r="E142" s="147">
        <f>Adjustments!G18</f>
        <v>12644.516785101425</v>
      </c>
      <c r="F142" s="147">
        <f>Adjustments!H18</f>
        <v>11678.354034261589</v>
      </c>
      <c r="G142" s="147">
        <f>Adjustments!I18</f>
        <v>9699.828903310692</v>
      </c>
      <c r="H142" s="147">
        <f>Adjustments!J18</f>
        <v>7399.953761038409</v>
      </c>
      <c r="I142" s="42"/>
      <c r="J142" s="166" t="s">
        <v>54</v>
      </c>
    </row>
    <row r="143" spans="2:10" ht="27.75" customHeight="1">
      <c r="B143" s="10"/>
      <c r="D143" s="42"/>
      <c r="E143" s="42"/>
      <c r="F143" s="42"/>
      <c r="G143" s="42"/>
      <c r="H143" s="42"/>
      <c r="I143" s="42"/>
      <c r="J143" s="166"/>
    </row>
    <row r="144" spans="2:10" s="126" customFormat="1" ht="27.75" customHeight="1">
      <c r="B144" s="14" t="s">
        <v>100</v>
      </c>
      <c r="C144" s="15"/>
      <c r="D144" s="15">
        <f>SUM(D136,D139:D142)</f>
        <v>74140.43796954965</v>
      </c>
      <c r="E144" s="15">
        <f>SUM(E136,E139:E142)</f>
        <v>75860.41129843476</v>
      </c>
      <c r="F144" s="15">
        <f>SUM(F136,F139:F142)</f>
        <v>78191.34792359492</v>
      </c>
      <c r="G144" s="15">
        <f>SUM(G136,G139:G142)</f>
        <v>78123.04887531069</v>
      </c>
      <c r="H144" s="15">
        <f>SUM(H136,H139:H142)</f>
        <v>79988.0344683035</v>
      </c>
      <c r="I144" s="127"/>
      <c r="J144" s="128"/>
    </row>
    <row r="145" spans="2:10" s="126" customFormat="1" ht="18" customHeight="1">
      <c r="B145" s="29"/>
      <c r="D145" s="127"/>
      <c r="E145" s="127"/>
      <c r="F145" s="127"/>
      <c r="G145" s="127"/>
      <c r="H145" s="127"/>
      <c r="I145" s="127"/>
      <c r="J145" s="128"/>
    </row>
    <row r="146" spans="2:10" s="126" customFormat="1" ht="18" customHeight="1">
      <c r="B146" s="29"/>
      <c r="D146" s="127"/>
      <c r="E146" s="127"/>
      <c r="F146" s="127"/>
      <c r="G146" s="127"/>
      <c r="H146" s="127"/>
      <c r="I146" s="127"/>
      <c r="J146" s="128"/>
    </row>
    <row r="147" spans="2:10" ht="15.75">
      <c r="B147" s="10"/>
      <c r="D147" s="42"/>
      <c r="E147" s="42"/>
      <c r="F147" s="42"/>
      <c r="G147" s="42"/>
      <c r="H147" s="42"/>
      <c r="I147" s="42"/>
      <c r="J147" s="90"/>
    </row>
    <row r="148" spans="2:10" ht="21.75" customHeight="1">
      <c r="B148" s="52" t="s">
        <v>68</v>
      </c>
      <c r="D148" s="51" t="s">
        <v>94</v>
      </c>
      <c r="E148" s="51" t="s">
        <v>95</v>
      </c>
      <c r="F148" s="51" t="s">
        <v>38</v>
      </c>
      <c r="J148" s="90"/>
    </row>
    <row r="149" spans="2:10" ht="19.5" customHeight="1">
      <c r="B149" s="4" t="s">
        <v>53</v>
      </c>
      <c r="D149" s="55">
        <v>0.065</v>
      </c>
      <c r="E149" s="9">
        <f>D149*(1-t)</f>
        <v>0.042899999999999994</v>
      </c>
      <c r="F149" s="142">
        <f>SUM(D134:H134)/SUM($D$136:$H$136)</f>
        <v>0.5484033702387315</v>
      </c>
      <c r="J149" s="166" t="s">
        <v>15</v>
      </c>
    </row>
    <row r="150" spans="2:10" ht="18" customHeight="1">
      <c r="B150" s="4" t="s">
        <v>67</v>
      </c>
      <c r="D150" s="55">
        <v>0.2</v>
      </c>
      <c r="E150" s="9">
        <f>D150</f>
        <v>0.2</v>
      </c>
      <c r="F150" s="142">
        <f>SUM(D135:H135)/SUM($D$136:$H$136)</f>
        <v>0.4515966297612684</v>
      </c>
      <c r="J150" s="167"/>
    </row>
    <row r="151" spans="2:10" ht="18" customHeight="1">
      <c r="B151" s="10" t="s">
        <v>69</v>
      </c>
      <c r="D151" s="9">
        <f>(D149*F149)+(D150*F150)</f>
        <v>0.12596554501777124</v>
      </c>
      <c r="E151" s="9">
        <f>(E149*F149)+(E150*F150)</f>
        <v>0.11384583053549527</v>
      </c>
      <c r="J151" s="90"/>
    </row>
    <row r="152" spans="2:10" ht="21.75" customHeight="1">
      <c r="B152" s="4" t="s">
        <v>70</v>
      </c>
      <c r="D152" s="55">
        <v>0.34</v>
      </c>
      <c r="J152" s="45"/>
    </row>
    <row r="154" spans="2:4" ht="18" customHeight="1">
      <c r="B154" s="13" t="s">
        <v>73</v>
      </c>
      <c r="D154" s="9"/>
    </row>
    <row r="155" spans="2:10" ht="18.75" customHeight="1">
      <c r="B155" s="18" t="s">
        <v>76</v>
      </c>
      <c r="D155" s="9"/>
      <c r="J155" s="45"/>
    </row>
    <row r="156" spans="2:10" ht="15.75">
      <c r="B156" s="12" t="s">
        <v>78</v>
      </c>
      <c r="D156" s="9"/>
      <c r="J156" s="45"/>
    </row>
    <row r="157" spans="2:10" ht="15.75">
      <c r="B157" s="4"/>
      <c r="D157" s="9"/>
      <c r="J157" s="45"/>
    </row>
    <row r="158" spans="2:9" ht="40.5" customHeight="1">
      <c r="B158" s="149" t="s">
        <v>47</v>
      </c>
      <c r="C158" s="33"/>
      <c r="D158" s="33"/>
      <c r="E158" s="33"/>
      <c r="F158" s="33"/>
      <c r="G158" s="33"/>
      <c r="H158" s="33"/>
      <c r="I158" s="36"/>
    </row>
    <row r="159" spans="2:10" ht="19.5">
      <c r="B159" s="20"/>
      <c r="C159" s="21"/>
      <c r="D159" s="21"/>
      <c r="E159" s="21"/>
      <c r="F159" s="21"/>
      <c r="G159" s="21"/>
      <c r="H159" s="21"/>
      <c r="J159" s="45"/>
    </row>
    <row r="160" spans="2:10" ht="15.75">
      <c r="B160" s="6" t="s">
        <v>120</v>
      </c>
      <c r="C160" s="6"/>
      <c r="D160" s="19">
        <v>1</v>
      </c>
      <c r="E160" s="19">
        <v>2</v>
      </c>
      <c r="F160" s="19">
        <v>3</v>
      </c>
      <c r="G160" s="19">
        <v>4</v>
      </c>
      <c r="H160" s="19">
        <v>5</v>
      </c>
      <c r="J160" s="45"/>
    </row>
    <row r="161" spans="2:10" ht="15.75">
      <c r="B161" s="37"/>
      <c r="C161" s="37"/>
      <c r="D161" s="38"/>
      <c r="E161" s="38"/>
      <c r="F161" s="38"/>
      <c r="G161" s="38"/>
      <c r="H161" s="38"/>
      <c r="J161" s="45"/>
    </row>
    <row r="162" spans="2:10" ht="15.75">
      <c r="B162" s="3" t="s">
        <v>64</v>
      </c>
      <c r="D162" s="11">
        <f>D122</f>
        <v>9121.11410848</v>
      </c>
      <c r="E162" s="11">
        <f>E122</f>
        <v>5781.966707079195</v>
      </c>
      <c r="F162" s="11">
        <f>F122</f>
        <v>8370.01280493839</v>
      </c>
      <c r="G162" s="11">
        <f>G122</f>
        <v>12016.604506570398</v>
      </c>
      <c r="H162" s="11">
        <f>H122</f>
        <v>11457.551659558423</v>
      </c>
      <c r="J162" s="45"/>
    </row>
    <row r="163" spans="2:10" ht="15.75">
      <c r="B163" s="3"/>
      <c r="D163" s="11"/>
      <c r="E163" s="11"/>
      <c r="F163" s="11"/>
      <c r="G163" s="11"/>
      <c r="H163" s="11"/>
      <c r="J163" s="45"/>
    </row>
    <row r="164" spans="2:10" ht="15.75">
      <c r="B164" s="3" t="s">
        <v>71</v>
      </c>
      <c r="D164" s="11">
        <f>D144*k</f>
        <v>8440.579736908749</v>
      </c>
      <c r="E164" s="11">
        <f>E144*k</f>
        <v>8636.391529034574</v>
      </c>
      <c r="F164" s="11">
        <f>F144*k</f>
        <v>8901.758945051537</v>
      </c>
      <c r="G164" s="11">
        <f>G144*k</f>
        <v>8893.983383174835</v>
      </c>
      <c r="H164" s="11">
        <f>H144*k</f>
        <v>9106.304216945833</v>
      </c>
      <c r="J164" s="45"/>
    </row>
    <row r="165" ht="15.75">
      <c r="J165" s="45"/>
    </row>
    <row r="166" spans="2:10" s="5" customFormat="1" ht="27.75" customHeight="1">
      <c r="B166" s="14" t="s">
        <v>77</v>
      </c>
      <c r="C166" s="15"/>
      <c r="D166" s="15">
        <f>D122-D164</f>
        <v>680.5343715712515</v>
      </c>
      <c r="E166" s="15">
        <f>E122-E164</f>
        <v>-2854.4248219553792</v>
      </c>
      <c r="F166" s="15">
        <f>F122-F164</f>
        <v>-531.7461401131477</v>
      </c>
      <c r="G166" s="15">
        <f>G122-G164</f>
        <v>3122.6211233955637</v>
      </c>
      <c r="H166" s="15">
        <f>H122-H164</f>
        <v>2351.24744261259</v>
      </c>
      <c r="I166" s="40"/>
      <c r="J166" s="47"/>
    </row>
    <row r="167" ht="15.75">
      <c r="J167" s="45"/>
    </row>
    <row r="168" spans="2:10" ht="15.75">
      <c r="B168" s="29" t="s">
        <v>84</v>
      </c>
      <c r="D168" s="1">
        <f>(D166/(1+k)^D173)</f>
        <v>442.12974210602954</v>
      </c>
      <c r="E168" s="1">
        <f>(E166/(1+k)^E173)+(D166/(1+k)^D173)</f>
        <v>-1623.4566262087756</v>
      </c>
      <c r="F168" s="1">
        <f>(F166/(1+k)^F173)+(E166/(1+k)^E173)+(D166/(1+k)^D173)</f>
        <v>-2052.058612223715</v>
      </c>
      <c r="G168" s="1">
        <f>(G166/(1+k)^G173)+(F166/(1+k)^F173)+(E166/(1+k)^E173)+(D166/(1+k)^D173)+(C166/(1+k)^C173)</f>
        <v>751.4003924163841</v>
      </c>
      <c r="H168" s="1">
        <f>(H166/(1+k)^H173)+(G166/(1+k)^G173)+(F166/(1+k)^F173)+(E166/(1+k)^E173)+(D166/(1+k)^D173)</f>
        <v>3102.6478350289744</v>
      </c>
      <c r="J168" s="45"/>
    </row>
    <row r="169" spans="2:10" ht="15.75">
      <c r="B169" s="29"/>
      <c r="J169" s="45"/>
    </row>
    <row r="170" spans="2:10" s="126" customFormat="1" ht="19.5" customHeight="1">
      <c r="B170" s="29" t="s">
        <v>1</v>
      </c>
      <c r="D170" s="129">
        <f>D162/D144</f>
        <v>0.1230248209786156</v>
      </c>
      <c r="E170" s="129">
        <f>E162/E144</f>
        <v>0.07621849932150968</v>
      </c>
      <c r="F170" s="129">
        <f>F162/F144</f>
        <v>0.10704525535379171</v>
      </c>
      <c r="G170" s="129">
        <f>G162/G144</f>
        <v>0.15381637915526897</v>
      </c>
      <c r="H170" s="129">
        <f>H162/H144</f>
        <v>0.14324082015165227</v>
      </c>
      <c r="J170" s="130"/>
    </row>
    <row r="171" spans="2:10" s="126" customFormat="1" ht="19.5" customHeight="1">
      <c r="B171" s="29" t="s">
        <v>28</v>
      </c>
      <c r="D171" s="131">
        <f>k</f>
        <v>0.11384583053549527</v>
      </c>
      <c r="E171" s="131">
        <f>k</f>
        <v>0.11384583053549527</v>
      </c>
      <c r="F171" s="131">
        <f>k</f>
        <v>0.11384583053549527</v>
      </c>
      <c r="G171" s="131">
        <f>k</f>
        <v>0.11384583053549527</v>
      </c>
      <c r="H171" s="131">
        <f>k</f>
        <v>0.11384583053549527</v>
      </c>
      <c r="J171" s="130"/>
    </row>
    <row r="172" spans="2:10" ht="15.75">
      <c r="B172" s="29"/>
      <c r="J172" s="45"/>
    </row>
    <row r="173" spans="2:10" ht="15.75" hidden="1">
      <c r="B173" s="17"/>
      <c r="D173" s="3">
        <v>4</v>
      </c>
      <c r="E173" s="1">
        <v>3</v>
      </c>
      <c r="F173" s="1">
        <v>2</v>
      </c>
      <c r="G173" s="1">
        <v>1</v>
      </c>
      <c r="H173" s="1">
        <v>0</v>
      </c>
      <c r="J173" s="45"/>
    </row>
    <row r="174" spans="2:10" ht="15.75">
      <c r="B174" s="17" t="s">
        <v>14</v>
      </c>
      <c r="D174" s="31">
        <f>D170-D171</f>
        <v>0.00917899044312033</v>
      </c>
      <c r="E174" s="31">
        <f>E170-E171</f>
        <v>-0.03762733121398559</v>
      </c>
      <c r="F174" s="31">
        <f>F170-F171</f>
        <v>-0.006800575181703558</v>
      </c>
      <c r="G174" s="31">
        <f>G170-G171</f>
        <v>0.0399705486197737</v>
      </c>
      <c r="H174" s="31">
        <f>H170-H171</f>
        <v>0.029394989616156997</v>
      </c>
      <c r="J174" s="45"/>
    </row>
    <row r="175" spans="2:10" ht="15.75">
      <c r="B175" s="17"/>
      <c r="D175" s="3"/>
      <c r="J175" s="45"/>
    </row>
    <row r="176" spans="2:10" ht="15.75">
      <c r="B176" s="17"/>
      <c r="J176" s="45"/>
    </row>
    <row r="177" spans="2:10" s="5" customFormat="1" ht="19.5" customHeight="1">
      <c r="B177" s="81" t="s">
        <v>81</v>
      </c>
      <c r="C177" s="82"/>
      <c r="D177" s="83"/>
      <c r="E177" s="82"/>
      <c r="F177" s="82"/>
      <c r="G177" s="82"/>
      <c r="H177" s="82"/>
      <c r="I177" s="82"/>
      <c r="J177" s="47"/>
    </row>
    <row r="178" spans="2:10" ht="24.75" customHeight="1">
      <c r="B178" s="30" t="s">
        <v>88</v>
      </c>
      <c r="D178" s="3">
        <f>D56+D54</f>
        <v>10227.822527999999</v>
      </c>
      <c r="E178" s="3">
        <f>E56+E54</f>
        <v>5686.928950119993</v>
      </c>
      <c r="F178" s="3">
        <f>F56+F54</f>
        <v>9359.044583239987</v>
      </c>
      <c r="G178" s="3">
        <f>G56+G54</f>
        <v>13676.883858439996</v>
      </c>
      <c r="H178" s="3">
        <f>H56+H54</f>
        <v>14597.895090240036</v>
      </c>
      <c r="J178" s="45"/>
    </row>
    <row r="179" spans="2:10" ht="24.75" customHeight="1">
      <c r="B179" s="75" t="s">
        <v>129</v>
      </c>
      <c r="C179" s="76"/>
      <c r="D179" s="76">
        <f>D51+D50</f>
        <v>19979.498044</v>
      </c>
      <c r="E179" s="76">
        <f>E51+E50</f>
        <v>14847.117790119994</v>
      </c>
      <c r="F179" s="76">
        <f>F51+F50</f>
        <v>18336.169707239987</v>
      </c>
      <c r="G179" s="76">
        <f>G51+G50</f>
        <v>22887.274982439998</v>
      </c>
      <c r="H179" s="76">
        <f>H51+H50</f>
        <v>24314.857994240036</v>
      </c>
      <c r="J179" s="45"/>
    </row>
    <row r="180" spans="2:10" ht="24.75" customHeight="1">
      <c r="B180" s="30" t="s">
        <v>72</v>
      </c>
      <c r="D180" s="31">
        <f>D43</f>
        <v>0.1435277925374967</v>
      </c>
      <c r="E180" s="31">
        <f>E42/D42-1</f>
        <v>-0.04927226194302459</v>
      </c>
      <c r="F180" s="31">
        <f>F42/E42-1</f>
        <v>0.0824772588892253</v>
      </c>
      <c r="G180" s="31">
        <f>G42/F42-1</f>
        <v>0.13001144779163254</v>
      </c>
      <c r="H180" s="31">
        <f>H42/G42-1</f>
        <v>0.1893678002927377</v>
      </c>
      <c r="J180" s="45"/>
    </row>
    <row r="181" spans="2:10" ht="24.75" customHeight="1">
      <c r="B181" s="4" t="s">
        <v>82</v>
      </c>
      <c r="D181" s="9">
        <f>D51/6905.251-1</f>
        <v>0.5028172542895253</v>
      </c>
      <c r="E181" s="9">
        <f>E51/D51-1</f>
        <v>-0.45824265070220993</v>
      </c>
      <c r="F181" s="9">
        <f>F51/E51-1</f>
        <v>0.6578444656891826</v>
      </c>
      <c r="G181" s="9">
        <f>G51/F51-1</f>
        <v>0.49052931910821385</v>
      </c>
      <c r="H181" s="9">
        <f>H51/G51-1</f>
        <v>0.15121193133503308</v>
      </c>
      <c r="J181" s="45"/>
    </row>
    <row r="182" spans="2:10" ht="24.75" customHeight="1">
      <c r="B182" s="77" t="s">
        <v>104</v>
      </c>
      <c r="C182" s="76"/>
      <c r="D182" s="84">
        <f>D59/7066.255-1</f>
        <v>-0.21407651970669062</v>
      </c>
      <c r="E182" s="84">
        <f>E59/D59-1</f>
        <v>-0.5408542862544675</v>
      </c>
      <c r="F182" s="84">
        <f>F59/E59-1</f>
        <v>0.9560503384649852</v>
      </c>
      <c r="G182" s="84">
        <f>G59/F59-1</f>
        <v>0.5625486747903332</v>
      </c>
      <c r="H182" s="84">
        <f>H59/G59-1</f>
        <v>0.061447462233241934</v>
      </c>
      <c r="J182" s="45"/>
    </row>
    <row r="183" spans="2:10" ht="24.75" customHeight="1">
      <c r="B183" s="4" t="s">
        <v>79</v>
      </c>
      <c r="D183" s="39">
        <f>D52</f>
        <v>0.07922571219304154</v>
      </c>
      <c r="E183" s="39">
        <f>E52</f>
        <v>0.04514553443202434</v>
      </c>
      <c r="F183" s="39">
        <f>F52</f>
        <v>0.0691416598308151</v>
      </c>
      <c r="G183" s="39">
        <f>G52</f>
        <v>0.09120055495989966</v>
      </c>
      <c r="H183" s="39">
        <f>H52</f>
        <v>0.08827476831672387</v>
      </c>
      <c r="J183" s="45"/>
    </row>
    <row r="184" spans="2:10" ht="24.75" customHeight="1">
      <c r="B184" s="4" t="s">
        <v>92</v>
      </c>
      <c r="D184" s="39">
        <f>D60</f>
        <v>0.042398459722230795</v>
      </c>
      <c r="E184" s="39">
        <f>E60</f>
        <v>0.02047596832575873</v>
      </c>
      <c r="F184" s="39">
        <f>F60</f>
        <v>0.03700033829357092</v>
      </c>
      <c r="G184" s="39">
        <f>G60</f>
        <v>0.051163047666817944</v>
      </c>
      <c r="H184" s="39">
        <f>H60</f>
        <v>0.04566029708614594</v>
      </c>
      <c r="J184" s="45"/>
    </row>
    <row r="185" spans="2:10" ht="24.75" customHeight="1">
      <c r="B185" s="77" t="s">
        <v>114</v>
      </c>
      <c r="C185" s="76"/>
      <c r="D185" s="78">
        <f>D63</f>
        <v>0.15139202912435334</v>
      </c>
      <c r="E185" s="78">
        <f>E63</f>
        <v>0.11974620188018632</v>
      </c>
      <c r="F185" s="78">
        <f>F63</f>
        <v>0.13631030238890202</v>
      </c>
      <c r="G185" s="78">
        <f>G63</f>
        <v>0.14883650973812693</v>
      </c>
      <c r="H185" s="78">
        <f>H63</f>
        <v>0.12650753827127656</v>
      </c>
      <c r="J185" s="45"/>
    </row>
    <row r="186" spans="2:10" ht="24.75" customHeight="1">
      <c r="B186" s="30" t="s">
        <v>86</v>
      </c>
      <c r="D186" s="31">
        <f>D59/D98</f>
        <v>0.25912304644283524</v>
      </c>
      <c r="E186" s="31">
        <f>E59/E98</f>
        <v>0.1156297073391433</v>
      </c>
      <c r="F186" s="31">
        <f>F59/F98</f>
        <v>0.1867219336773077</v>
      </c>
      <c r="G186" s="31">
        <f>G59/G98</f>
        <v>0.2718354409387577</v>
      </c>
      <c r="H186" s="31">
        <f>H59/H98</f>
        <v>0.19570396880717666</v>
      </c>
      <c r="J186" s="45"/>
    </row>
    <row r="187" spans="2:10" ht="24.75" customHeight="1">
      <c r="B187" s="79" t="s">
        <v>87</v>
      </c>
      <c r="C187" s="76"/>
      <c r="D187" s="80">
        <f>D59/(D87-D90-D91)</f>
        <v>0.09674291504588403</v>
      </c>
      <c r="E187" s="80">
        <f>E59/(E87-E90-E91)</f>
        <v>0.044427895080649725</v>
      </c>
      <c r="F187" s="80">
        <f>F59/(F87-F90-F91)</f>
        <v>0.0818781653934062</v>
      </c>
      <c r="G187" s="80">
        <f>G59/(G87-G90-G91)</f>
        <v>0.12318617891441898</v>
      </c>
      <c r="H187" s="80">
        <f>H59/(H87-H90-H91)</f>
        <v>0.1130394617802461</v>
      </c>
      <c r="J187" s="45"/>
    </row>
    <row r="188" spans="2:10" ht="15.75">
      <c r="B188" s="30"/>
      <c r="D188" s="3"/>
      <c r="J188" s="45"/>
    </row>
    <row r="189" spans="2:10" ht="15.75">
      <c r="B189" s="30" t="s">
        <v>50</v>
      </c>
      <c r="D189" s="88">
        <f>D42/D80</f>
        <v>1.3725727781860453</v>
      </c>
      <c r="E189" s="88">
        <f>E42/E80</f>
        <v>1.2020791914097104</v>
      </c>
      <c r="F189" s="88">
        <f>F42/F80</f>
        <v>1.19245280147593</v>
      </c>
      <c r="G189" s="88">
        <f>G42/G80</f>
        <v>1.243106373799621</v>
      </c>
      <c r="H189" s="88">
        <f>H42/H80</f>
        <v>1.3247332450224596</v>
      </c>
      <c r="J189" s="45"/>
    </row>
    <row r="190" spans="2:10" ht="15.75">
      <c r="B190" s="30"/>
      <c r="D190" s="3"/>
      <c r="J190" s="45"/>
    </row>
    <row r="191" spans="4:10" ht="15.75">
      <c r="D191" s="89"/>
      <c r="J191" s="45"/>
    </row>
    <row r="222" spans="4:10" ht="15.75">
      <c r="D222" s="16"/>
      <c r="E222" s="16"/>
      <c r="F222" s="16"/>
      <c r="G222" s="16"/>
      <c r="H222" s="16"/>
      <c r="J222" s="45"/>
    </row>
    <row r="257" ht="15.75">
      <c r="B257" s="3"/>
    </row>
    <row r="258" ht="15.75">
      <c r="B258" s="3"/>
    </row>
    <row r="263" ht="15.75">
      <c r="J263" s="89"/>
    </row>
  </sheetData>
  <sheetProtection sheet="1" objects="1" scenarios="1"/>
  <mergeCells count="6">
    <mergeCell ref="J149:J150"/>
    <mergeCell ref="B15:I25"/>
    <mergeCell ref="B7:I14"/>
    <mergeCell ref="B26:I31"/>
    <mergeCell ref="J142:J143"/>
    <mergeCell ref="B32:I37"/>
  </mergeCells>
  <printOptions/>
  <pageMargins left="0.75" right="0.552083333333333" top="0.5" bottom="0.75" header="0.5" footer="0.5"/>
  <pageSetup orientation="landscape" paperSize="9" scale="75"/>
  <headerFooter alignWithMargins="0">
    <oddFooter>&amp;L&amp;"AGaramond Semibold,Regular"&amp;A&amp;C&amp;"AGaramond Semibold,Regular"- &amp;P -&amp;R&amp;G</oddFooter>
  </headerFooter>
  <rowBreaks count="6" manualBreakCount="6">
    <brk id="32" max="10" man="1"/>
    <brk id="65" max="10" man="1"/>
    <brk id="101" max="10" man="1"/>
    <brk id="123" max="10" man="1"/>
    <brk id="153" max="255" man="1"/>
    <brk id="192" max="10" man="1"/>
  </rowBreaks>
  <legacyDrawingHF r:id="rId1"/>
</worksheet>
</file>

<file path=xl/worksheets/sheet3.xml><?xml version="1.0" encoding="utf-8"?>
<worksheet xmlns="http://schemas.openxmlformats.org/spreadsheetml/2006/main" xmlns:r="http://schemas.openxmlformats.org/officeDocument/2006/relationships">
  <dimension ref="A1:Q245"/>
  <sheetViews>
    <sheetView showGridLines="0" zoomScaleSheetLayoutView="100" workbookViewId="0" topLeftCell="A1">
      <selection activeCell="B152" sqref="B152"/>
    </sheetView>
  </sheetViews>
  <sheetFormatPr defaultColWidth="8.88671875" defaultRowHeight="15.75"/>
  <cols>
    <col min="1" max="1" width="3.10546875" style="93" customWidth="1"/>
    <col min="2" max="2" width="25.88671875" style="93" customWidth="1"/>
    <col min="3" max="3" width="7.6640625" style="93" customWidth="1"/>
    <col min="4" max="8" width="13.6640625" style="93" customWidth="1"/>
    <col min="9" max="9" width="2.4453125" style="93" customWidth="1"/>
    <col min="10" max="10" width="38.6640625" style="93" customWidth="1"/>
    <col min="11" max="11" width="1.5625" style="93" customWidth="1"/>
    <col min="12" max="16384" width="10.6640625" style="93" customWidth="1"/>
  </cols>
  <sheetData>
    <row r="1" spans="2:9" s="138" customFormat="1" ht="40.5" customHeight="1">
      <c r="B1" s="149" t="s">
        <v>52</v>
      </c>
      <c r="C1" s="94"/>
      <c r="D1" s="94"/>
      <c r="E1" s="94"/>
      <c r="F1" s="94"/>
      <c r="G1" s="94"/>
      <c r="H1" s="94"/>
      <c r="I1" s="95"/>
    </row>
    <row r="2" spans="3:10" ht="19.5" customHeight="1">
      <c r="C2" s="101"/>
      <c r="D2" s="101"/>
      <c r="E2" s="101"/>
      <c r="F2" s="101"/>
      <c r="G2" s="101"/>
      <c r="H2" s="101"/>
      <c r="I2" s="101"/>
      <c r="J2" s="101"/>
    </row>
    <row r="3" spans="2:10" ht="21.75" customHeight="1">
      <c r="B3" s="97" t="s">
        <v>89</v>
      </c>
      <c r="C3" s="170"/>
      <c r="D3" s="171"/>
      <c r="E3" s="101"/>
      <c r="F3" s="101"/>
      <c r="G3" s="101"/>
      <c r="H3" s="101"/>
      <c r="I3" s="101"/>
      <c r="J3" s="101"/>
    </row>
    <row r="4" spans="2:10" ht="9" customHeight="1">
      <c r="B4" s="97"/>
      <c r="C4" s="144"/>
      <c r="D4" s="145"/>
      <c r="E4" s="101"/>
      <c r="F4" s="101"/>
      <c r="G4" s="101"/>
      <c r="H4" s="101"/>
      <c r="I4" s="101"/>
      <c r="J4" s="101"/>
    </row>
    <row r="5" spans="2:10" ht="19.5" customHeight="1">
      <c r="B5" s="164" t="s">
        <v>3</v>
      </c>
      <c r="C5" s="165"/>
      <c r="D5" s="165"/>
      <c r="E5" s="165"/>
      <c r="F5" s="165"/>
      <c r="G5" s="165"/>
      <c r="H5" s="165"/>
      <c r="I5" s="165"/>
      <c r="J5" s="101"/>
    </row>
    <row r="6" spans="2:10" ht="19.5" customHeight="1">
      <c r="B6" s="165"/>
      <c r="C6" s="165"/>
      <c r="D6" s="165"/>
      <c r="E6" s="165"/>
      <c r="F6" s="165"/>
      <c r="G6" s="165"/>
      <c r="H6" s="165"/>
      <c r="I6" s="165"/>
      <c r="J6" s="101"/>
    </row>
    <row r="7" spans="2:10" ht="19.5" customHeight="1">
      <c r="B7" s="165"/>
      <c r="C7" s="165"/>
      <c r="D7" s="165"/>
      <c r="E7" s="165"/>
      <c r="F7" s="165"/>
      <c r="G7" s="165"/>
      <c r="H7" s="165"/>
      <c r="I7" s="165"/>
      <c r="J7" s="101"/>
    </row>
    <row r="8" spans="2:10" ht="19.5" customHeight="1">
      <c r="B8" s="165"/>
      <c r="C8" s="165"/>
      <c r="D8" s="165"/>
      <c r="E8" s="165"/>
      <c r="F8" s="165"/>
      <c r="G8" s="165"/>
      <c r="H8" s="165"/>
      <c r="I8" s="165"/>
      <c r="J8" s="101"/>
    </row>
    <row r="9" spans="2:10" ht="19.5" customHeight="1">
      <c r="B9" s="165"/>
      <c r="C9" s="165"/>
      <c r="D9" s="165"/>
      <c r="E9" s="165"/>
      <c r="F9" s="165"/>
      <c r="G9" s="165"/>
      <c r="H9" s="165"/>
      <c r="I9" s="165"/>
      <c r="J9" s="101"/>
    </row>
    <row r="10" spans="2:10" ht="19.5" customHeight="1">
      <c r="B10" s="165"/>
      <c r="C10" s="165"/>
      <c r="D10" s="165"/>
      <c r="E10" s="165"/>
      <c r="F10" s="165"/>
      <c r="G10" s="165"/>
      <c r="H10" s="165"/>
      <c r="I10" s="165"/>
      <c r="J10" s="101"/>
    </row>
    <row r="11" spans="2:10" ht="19.5" customHeight="1">
      <c r="B11" s="165"/>
      <c r="C11" s="165"/>
      <c r="D11" s="165"/>
      <c r="E11" s="165"/>
      <c r="F11" s="165"/>
      <c r="G11" s="165"/>
      <c r="H11" s="165"/>
      <c r="I11" s="165"/>
      <c r="J11" s="101"/>
    </row>
    <row r="12" spans="2:10" ht="19.5" customHeight="1">
      <c r="B12" s="86"/>
      <c r="C12" s="86"/>
      <c r="D12" s="86"/>
      <c r="E12" s="86"/>
      <c r="F12" s="86"/>
      <c r="G12" s="86"/>
      <c r="H12" s="86"/>
      <c r="I12" s="101"/>
      <c r="J12" s="101"/>
    </row>
    <row r="13" spans="2:10" ht="22.5" customHeight="1">
      <c r="B13" s="18" t="s">
        <v>112</v>
      </c>
      <c r="D13" s="12"/>
      <c r="J13" s="139" t="s">
        <v>21</v>
      </c>
    </row>
    <row r="14" spans="2:10" ht="15.75">
      <c r="B14" s="12" t="s">
        <v>78</v>
      </c>
      <c r="D14" s="12"/>
      <c r="J14" s="45"/>
    </row>
    <row r="15" ht="15.75">
      <c r="J15" s="45"/>
    </row>
    <row r="16" ht="15.75">
      <c r="J16" s="45"/>
    </row>
    <row r="17" spans="2:10" ht="40.5" customHeight="1">
      <c r="B17" s="149" t="s">
        <v>8</v>
      </c>
      <c r="C17" s="94"/>
      <c r="D17" s="94"/>
      <c r="E17" s="94"/>
      <c r="F17" s="94"/>
      <c r="G17" s="94"/>
      <c r="H17" s="94"/>
      <c r="I17" s="95"/>
      <c r="J17" s="45"/>
    </row>
    <row r="18" ht="27.75" customHeight="1">
      <c r="J18" s="45"/>
    </row>
    <row r="19" spans="2:10" s="7" customFormat="1" ht="19.5" customHeight="1">
      <c r="B19" s="6" t="s">
        <v>120</v>
      </c>
      <c r="C19" s="6"/>
      <c r="D19" s="156">
        <v>1</v>
      </c>
      <c r="E19" s="156">
        <v>2</v>
      </c>
      <c r="F19" s="156">
        <v>3</v>
      </c>
      <c r="G19" s="156">
        <v>4</v>
      </c>
      <c r="H19" s="156">
        <v>5</v>
      </c>
      <c r="J19" s="48"/>
    </row>
    <row r="20" ht="18" customHeight="1">
      <c r="J20" s="45"/>
    </row>
    <row r="21" spans="2:10" ht="15.75">
      <c r="B21" s="93" t="s">
        <v>119</v>
      </c>
      <c r="D21" s="151">
        <v>100000</v>
      </c>
      <c r="E21" s="151">
        <f>D21*1.1</f>
        <v>110000.00000000001</v>
      </c>
      <c r="F21" s="151">
        <f>E21*1.1</f>
        <v>121000.00000000003</v>
      </c>
      <c r="G21" s="151">
        <f>F21*1.1</f>
        <v>133100.00000000003</v>
      </c>
      <c r="H21" s="151">
        <f>G21*1.1</f>
        <v>146410.00000000006</v>
      </c>
      <c r="J21" s="45"/>
    </row>
    <row r="22" spans="2:10" ht="15.75" customHeight="1">
      <c r="B22" s="28" t="s">
        <v>72</v>
      </c>
      <c r="C22" s="23"/>
      <c r="D22" s="121">
        <f>(D21/114544.111)-1</f>
        <v>-0.1269738869421232</v>
      </c>
      <c r="E22" s="121">
        <f>E21/D21-1</f>
        <v>0.10000000000000009</v>
      </c>
      <c r="F22" s="121">
        <f>F21/E21-1</f>
        <v>0.10000000000000009</v>
      </c>
      <c r="G22" s="121">
        <f>G21/F21-1</f>
        <v>0.09999999999999987</v>
      </c>
      <c r="H22" s="121">
        <v>0.1</v>
      </c>
      <c r="J22" s="45"/>
    </row>
    <row r="23" spans="4:10" ht="15.75">
      <c r="D23" s="122"/>
      <c r="E23" s="122"/>
      <c r="F23" s="122"/>
      <c r="G23" s="122"/>
      <c r="H23" s="122"/>
      <c r="J23" s="45"/>
    </row>
    <row r="24" spans="2:10" ht="15.75">
      <c r="B24" s="12" t="s">
        <v>121</v>
      </c>
      <c r="D24" s="152">
        <f>D21*0.75</f>
        <v>75000</v>
      </c>
      <c r="E24" s="152">
        <f>E21*0.75</f>
        <v>82500.00000000001</v>
      </c>
      <c r="F24" s="152">
        <f>F21*0.75</f>
        <v>90750.00000000003</v>
      </c>
      <c r="G24" s="152">
        <f>G21*0.75</f>
        <v>99825.00000000003</v>
      </c>
      <c r="H24" s="152">
        <f>H21*0.75</f>
        <v>109807.50000000004</v>
      </c>
      <c r="J24" s="49"/>
    </row>
    <row r="25" spans="2:10" ht="18.75" customHeight="1">
      <c r="B25" s="30" t="s">
        <v>122</v>
      </c>
      <c r="D25" s="122">
        <f>D21-D24</f>
        <v>25000</v>
      </c>
      <c r="E25" s="122">
        <f>E21-E24</f>
        <v>27500</v>
      </c>
      <c r="F25" s="122">
        <f>F21-F24</f>
        <v>30250</v>
      </c>
      <c r="G25" s="122">
        <f>G21-G24</f>
        <v>33275</v>
      </c>
      <c r="H25" s="122">
        <f>H21-H24</f>
        <v>36602.500000000015</v>
      </c>
      <c r="J25" s="45"/>
    </row>
    <row r="26" spans="2:10" s="108" customFormat="1" ht="18.75" customHeight="1">
      <c r="B26" s="26" t="s">
        <v>75</v>
      </c>
      <c r="C26" s="27"/>
      <c r="D26" s="121">
        <f>D25/D21</f>
        <v>0.25</v>
      </c>
      <c r="E26" s="121">
        <f>E25/E21</f>
        <v>0.24999999999999997</v>
      </c>
      <c r="F26" s="121">
        <f>F25/F21</f>
        <v>0.24999999999999994</v>
      </c>
      <c r="G26" s="121">
        <f>G25/G21</f>
        <v>0.24999999999999994</v>
      </c>
      <c r="H26" s="121">
        <f>H25/H21</f>
        <v>0.25</v>
      </c>
      <c r="J26" s="50"/>
    </row>
    <row r="27" spans="4:10" ht="15.75">
      <c r="D27" s="122"/>
      <c r="E27" s="122"/>
      <c r="F27" s="122"/>
      <c r="G27" s="122"/>
      <c r="H27" s="122"/>
      <c r="J27" s="45"/>
    </row>
    <row r="28" spans="2:10" ht="18" customHeight="1">
      <c r="B28" s="12" t="s">
        <v>123</v>
      </c>
      <c r="D28" s="151">
        <v>12000</v>
      </c>
      <c r="E28" s="151">
        <f>D28*1.1</f>
        <v>13200.000000000002</v>
      </c>
      <c r="F28" s="151">
        <f>E28*1.1</f>
        <v>14520.000000000004</v>
      </c>
      <c r="G28" s="151">
        <f>F28*1.1</f>
        <v>15972.000000000005</v>
      </c>
      <c r="H28" s="151">
        <f>G28*1.1</f>
        <v>17569.200000000008</v>
      </c>
      <c r="J28" s="45"/>
    </row>
    <row r="29" spans="2:10" ht="18" customHeight="1">
      <c r="B29" s="12" t="s">
        <v>17</v>
      </c>
      <c r="D29" s="152">
        <v>8500</v>
      </c>
      <c r="E29" s="152">
        <v>9000</v>
      </c>
      <c r="F29" s="152">
        <v>9000</v>
      </c>
      <c r="G29" s="152">
        <v>9000</v>
      </c>
      <c r="H29" s="152">
        <v>9000</v>
      </c>
      <c r="J29" s="45"/>
    </row>
    <row r="30" spans="2:10" ht="18.75" customHeight="1">
      <c r="B30" s="30" t="s">
        <v>80</v>
      </c>
      <c r="D30" s="122">
        <f>D25-D28-D29</f>
        <v>4500</v>
      </c>
      <c r="E30" s="122">
        <f>E25-E28-E29</f>
        <v>5299.999999999998</v>
      </c>
      <c r="F30" s="122">
        <f>F25-F28-F29</f>
        <v>6729.999999999996</v>
      </c>
      <c r="G30" s="122">
        <f>G25-G28-G29</f>
        <v>8302.999999999993</v>
      </c>
      <c r="H30" s="122">
        <f>H25-H28-H29</f>
        <v>10033.300000000007</v>
      </c>
      <c r="J30" s="45"/>
    </row>
    <row r="31" spans="2:10" ht="15.75">
      <c r="B31" s="25" t="s">
        <v>79</v>
      </c>
      <c r="C31" s="23"/>
      <c r="D31" s="121">
        <f>D30/D21</f>
        <v>0.045</v>
      </c>
      <c r="E31" s="121">
        <f>E30/E21</f>
        <v>0.04818181818181816</v>
      </c>
      <c r="F31" s="121">
        <f>F30/F21</f>
        <v>0.055619834710743755</v>
      </c>
      <c r="G31" s="121">
        <f>G30/G21</f>
        <v>0.062381667918857936</v>
      </c>
      <c r="H31" s="121">
        <f>H30/H21</f>
        <v>0.06852878901714365</v>
      </c>
      <c r="J31" s="45"/>
    </row>
    <row r="32" spans="4:10" ht="15.75">
      <c r="D32" s="123"/>
      <c r="E32" s="123"/>
      <c r="F32" s="123"/>
      <c r="G32" s="123"/>
      <c r="H32" s="123"/>
      <c r="J32" s="45"/>
    </row>
    <row r="33" spans="2:10" ht="18" customHeight="1">
      <c r="B33" s="12" t="s">
        <v>124</v>
      </c>
      <c r="D33" s="151">
        <v>1813.374464</v>
      </c>
      <c r="E33" s="151">
        <v>1823.471188</v>
      </c>
      <c r="F33" s="151">
        <v>1801.92672</v>
      </c>
      <c r="G33" s="151">
        <v>1868.519356</v>
      </c>
      <c r="H33" s="151">
        <v>2063.936556</v>
      </c>
      <c r="J33" s="45"/>
    </row>
    <row r="34" spans="2:10" ht="18" customHeight="1">
      <c r="B34" s="12" t="s">
        <v>125</v>
      </c>
      <c r="D34" s="152">
        <v>149.50782</v>
      </c>
      <c r="E34" s="152">
        <v>-64.93396800000001</v>
      </c>
      <c r="F34" s="152">
        <v>-38.651316</v>
      </c>
      <c r="G34" s="152">
        <v>215.435572</v>
      </c>
      <c r="H34" s="152">
        <v>1395.108792</v>
      </c>
      <c r="J34" s="45"/>
    </row>
    <row r="35" spans="2:10" ht="18.75" customHeight="1">
      <c r="B35" s="30" t="s">
        <v>126</v>
      </c>
      <c r="D35" s="122">
        <f>D30-D33-D34</f>
        <v>2537.117716</v>
      </c>
      <c r="E35" s="122">
        <f>E30-E33-E34</f>
        <v>3541.462779999998</v>
      </c>
      <c r="F35" s="122">
        <f>F30-F33-F34</f>
        <v>4966.724595999997</v>
      </c>
      <c r="G35" s="122">
        <f>G30-G33-G34</f>
        <v>6219.045071999993</v>
      </c>
      <c r="H35" s="122">
        <f>H30-H33-H34</f>
        <v>6574.254652000006</v>
      </c>
      <c r="J35" s="45"/>
    </row>
    <row r="36" spans="4:10" ht="15.75">
      <c r="D36" s="122"/>
      <c r="E36" s="122"/>
      <c r="F36" s="122"/>
      <c r="G36" s="122"/>
      <c r="H36" s="122"/>
      <c r="J36" s="45"/>
    </row>
    <row r="37" spans="2:10" ht="15.75">
      <c r="B37" s="12" t="s">
        <v>127</v>
      </c>
      <c r="D37" s="152">
        <f>D35*t</f>
        <v>862.6200234400002</v>
      </c>
      <c r="E37" s="152">
        <f>E35*t</f>
        <v>1204.0973451999994</v>
      </c>
      <c r="F37" s="152">
        <f>F35*t</f>
        <v>1688.6863626399993</v>
      </c>
      <c r="G37" s="152">
        <f>G35*t</f>
        <v>2114.4753244799977</v>
      </c>
      <c r="H37" s="152">
        <f>H35*t</f>
        <v>2235.2465816800022</v>
      </c>
      <c r="J37" s="45"/>
    </row>
    <row r="38" spans="2:10" ht="18.75" customHeight="1">
      <c r="B38" s="30" t="s">
        <v>128</v>
      </c>
      <c r="D38" s="122">
        <f>D35-D37</f>
        <v>1674.49769256</v>
      </c>
      <c r="E38" s="122">
        <f>E35-E37</f>
        <v>2337.3654347999986</v>
      </c>
      <c r="F38" s="122">
        <f>F35-F37</f>
        <v>3278.0382333599982</v>
      </c>
      <c r="G38" s="122">
        <f>G35-G37</f>
        <v>4104.569747519995</v>
      </c>
      <c r="H38" s="122">
        <f>H35-H37</f>
        <v>4339.008070320004</v>
      </c>
      <c r="J38" s="45"/>
    </row>
    <row r="39" spans="2:10" ht="15.75">
      <c r="B39" s="25" t="s">
        <v>92</v>
      </c>
      <c r="C39" s="23"/>
      <c r="D39" s="24">
        <f>D38/D21</f>
        <v>0.016744976925599998</v>
      </c>
      <c r="E39" s="24">
        <f>E38/E21</f>
        <v>0.021248776679999984</v>
      </c>
      <c r="F39" s="24">
        <f>F38/F21</f>
        <v>0.02709122506909089</v>
      </c>
      <c r="G39" s="24">
        <f>G38/G21</f>
        <v>0.030838240026446237</v>
      </c>
      <c r="H39" s="24">
        <f>H38/H21</f>
        <v>0.029636008949661924</v>
      </c>
      <c r="J39" s="45"/>
    </row>
    <row r="40" spans="2:10" ht="15.75">
      <c r="B40" s="25"/>
      <c r="C40" s="23"/>
      <c r="D40" s="24"/>
      <c r="E40" s="24"/>
      <c r="F40" s="24"/>
      <c r="G40" s="24"/>
      <c r="H40" s="24"/>
      <c r="J40" s="45"/>
    </row>
    <row r="41" spans="2:8" s="12" customFormat="1" ht="15.75">
      <c r="B41" s="30" t="s">
        <v>129</v>
      </c>
      <c r="D41" s="12">
        <f>D30+D29-D34</f>
        <v>12850.49218</v>
      </c>
      <c r="E41" s="12">
        <f>E30+E29-E34</f>
        <v>14364.933967999998</v>
      </c>
      <c r="F41" s="12">
        <f>F30+F29-F34</f>
        <v>15768.651315999996</v>
      </c>
      <c r="G41" s="12">
        <f>G30+G29-G34</f>
        <v>17087.564427999994</v>
      </c>
      <c r="H41" s="12">
        <f>H30+H29-H34</f>
        <v>17638.191208000007</v>
      </c>
    </row>
    <row r="42" spans="2:8" s="23" customFormat="1" ht="12.75">
      <c r="B42" s="25" t="s">
        <v>114</v>
      </c>
      <c r="D42" s="24">
        <f>D41/D21</f>
        <v>0.1285049218</v>
      </c>
      <c r="E42" s="24">
        <f>E41/E21</f>
        <v>0.13059030879999997</v>
      </c>
      <c r="F42" s="24">
        <f>F41/F21</f>
        <v>0.1303194323636363</v>
      </c>
      <c r="G42" s="24">
        <f>G41/G21</f>
        <v>0.12838140066115694</v>
      </c>
      <c r="H42" s="24">
        <f>H41/H21</f>
        <v>0.1204712192336589</v>
      </c>
    </row>
    <row r="43" spans="2:10" ht="19.5" customHeight="1">
      <c r="B43" s="86"/>
      <c r="C43" s="86"/>
      <c r="D43" s="86"/>
      <c r="E43" s="86"/>
      <c r="F43" s="86"/>
      <c r="G43" s="86"/>
      <c r="H43" s="86"/>
      <c r="I43" s="101"/>
      <c r="J43" s="101"/>
    </row>
    <row r="44" spans="2:10" ht="19.5" customHeight="1">
      <c r="B44" s="86"/>
      <c r="C44" s="86"/>
      <c r="D44" s="86"/>
      <c r="E44" s="86"/>
      <c r="F44" s="86"/>
      <c r="G44" s="86"/>
      <c r="H44" s="86"/>
      <c r="I44" s="101"/>
      <c r="J44" s="101"/>
    </row>
    <row r="45" spans="2:10" ht="24.75" customHeight="1">
      <c r="B45" s="150">
        <f>$C$2</f>
        <v>0</v>
      </c>
      <c r="D45" s="12"/>
      <c r="E45" s="12"/>
      <c r="F45" s="12"/>
      <c r="G45" s="12"/>
      <c r="H45" s="12"/>
      <c r="J45" s="140" t="s">
        <v>23</v>
      </c>
    </row>
    <row r="46" spans="2:11" ht="19.5">
      <c r="B46" s="18" t="s">
        <v>18</v>
      </c>
      <c r="K46" s="12" t="s">
        <v>74</v>
      </c>
    </row>
    <row r="47" spans="2:11" ht="15.75">
      <c r="B47" s="12" t="s">
        <v>78</v>
      </c>
      <c r="J47" s="45"/>
      <c r="K47" s="12"/>
    </row>
    <row r="48" spans="2:11" ht="15.75">
      <c r="B48" s="12"/>
      <c r="J48" s="45"/>
      <c r="K48" s="12"/>
    </row>
    <row r="49" ht="15.75">
      <c r="J49" s="45"/>
    </row>
    <row r="50" spans="2:10" ht="40.5" customHeight="1">
      <c r="B50" s="149" t="s">
        <v>9</v>
      </c>
      <c r="C50" s="94"/>
      <c r="D50" s="94"/>
      <c r="E50" s="94"/>
      <c r="F50" s="94"/>
      <c r="G50" s="94"/>
      <c r="H50" s="94"/>
      <c r="I50" s="95"/>
      <c r="J50" s="45"/>
    </row>
    <row r="51" ht="15.75">
      <c r="J51" s="45"/>
    </row>
    <row r="52" spans="2:10" ht="15.75">
      <c r="B52" s="6" t="s">
        <v>120</v>
      </c>
      <c r="C52" s="6"/>
      <c r="D52" s="156">
        <v>1</v>
      </c>
      <c r="E52" s="156">
        <v>2</v>
      </c>
      <c r="F52" s="156">
        <v>3</v>
      </c>
      <c r="G52" s="156">
        <v>4</v>
      </c>
      <c r="H52" s="156">
        <v>5</v>
      </c>
      <c r="J52" s="45"/>
    </row>
    <row r="53" ht="18" customHeight="1">
      <c r="J53" s="45"/>
    </row>
    <row r="54" spans="2:10" ht="18" customHeight="1">
      <c r="B54" s="12" t="s">
        <v>131</v>
      </c>
      <c r="D54" s="151">
        <v>7300</v>
      </c>
      <c r="E54" s="151">
        <v>9000</v>
      </c>
      <c r="F54" s="151">
        <v>10100</v>
      </c>
      <c r="G54" s="151">
        <v>14700</v>
      </c>
      <c r="H54" s="151">
        <v>5400</v>
      </c>
      <c r="J54" s="45"/>
    </row>
    <row r="55" spans="2:10" ht="15.75">
      <c r="B55" s="12" t="s">
        <v>93</v>
      </c>
      <c r="D55" s="152">
        <v>14000</v>
      </c>
      <c r="E55" s="152">
        <v>12500</v>
      </c>
      <c r="F55" s="152">
        <v>13000</v>
      </c>
      <c r="G55" s="152">
        <v>18000</v>
      </c>
      <c r="H55" s="152">
        <v>19300</v>
      </c>
      <c r="J55" s="45"/>
    </row>
    <row r="56" spans="2:10" ht="18.75" customHeight="1">
      <c r="B56" s="30" t="s">
        <v>132</v>
      </c>
      <c r="D56" s="12">
        <f>SUM(D54:D55)</f>
        <v>21300</v>
      </c>
      <c r="E56" s="12">
        <f>SUM(E54:E55)</f>
        <v>21500</v>
      </c>
      <c r="F56" s="12">
        <f>SUM(F54:F55)</f>
        <v>23100</v>
      </c>
      <c r="G56" s="12">
        <f>SUM(G54:G55)</f>
        <v>32700</v>
      </c>
      <c r="H56" s="12">
        <f>SUM(H54:H55)</f>
        <v>24700</v>
      </c>
      <c r="J56" s="45"/>
    </row>
    <row r="57" spans="4:10" ht="15.75">
      <c r="D57" s="12"/>
      <c r="E57" s="12"/>
      <c r="F57" s="12"/>
      <c r="G57" s="12"/>
      <c r="H57" s="12"/>
      <c r="J57" s="45"/>
    </row>
    <row r="58" spans="2:10" ht="18" customHeight="1">
      <c r="B58" s="12" t="s">
        <v>133</v>
      </c>
      <c r="D58" s="151">
        <v>95000</v>
      </c>
      <c r="E58" s="151">
        <v>103500</v>
      </c>
      <c r="F58" s="151">
        <v>113000</v>
      </c>
      <c r="G58" s="151">
        <v>122000</v>
      </c>
      <c r="H58" s="151">
        <v>136700</v>
      </c>
      <c r="J58" s="45"/>
    </row>
    <row r="59" spans="2:10" ht="18" customHeight="1">
      <c r="B59" s="12" t="s">
        <v>134</v>
      </c>
      <c r="D59" s="152">
        <v>-45200</v>
      </c>
      <c r="E59" s="152">
        <v>-54200</v>
      </c>
      <c r="F59" s="152">
        <v>-60300</v>
      </c>
      <c r="G59" s="152">
        <v>-68100</v>
      </c>
      <c r="H59" s="152">
        <v>-72300</v>
      </c>
      <c r="J59" s="45"/>
    </row>
    <row r="60" spans="2:8" ht="18.75" customHeight="1">
      <c r="B60" s="30" t="s">
        <v>59</v>
      </c>
      <c r="D60" s="12">
        <f>SUM(D58:D59)</f>
        <v>49800</v>
      </c>
      <c r="E60" s="12">
        <f>SUM(E58:E59)</f>
        <v>49300</v>
      </c>
      <c r="F60" s="12">
        <f>SUM(F58:F59)</f>
        <v>52700</v>
      </c>
      <c r="G60" s="12">
        <f>SUM(G58:G59)</f>
        <v>53900</v>
      </c>
      <c r="H60" s="12">
        <f>SUM(H58:H59)</f>
        <v>64400</v>
      </c>
    </row>
    <row r="61" spans="4:8" ht="15.75">
      <c r="D61" s="12"/>
      <c r="E61" s="12"/>
      <c r="F61" s="12"/>
      <c r="G61" s="12"/>
      <c r="H61" s="12"/>
    </row>
    <row r="62" spans="2:8" ht="18" customHeight="1">
      <c r="B62" s="12" t="s">
        <v>135</v>
      </c>
      <c r="D62" s="151">
        <v>1000</v>
      </c>
      <c r="E62" s="151">
        <v>2000</v>
      </c>
      <c r="F62" s="151">
        <v>1500</v>
      </c>
      <c r="G62" s="151">
        <v>1400</v>
      </c>
      <c r="H62" s="151">
        <v>3600</v>
      </c>
    </row>
    <row r="63" spans="2:8" ht="18" customHeight="1">
      <c r="B63" s="12" t="s">
        <v>136</v>
      </c>
      <c r="D63" s="152">
        <v>0</v>
      </c>
      <c r="E63" s="152">
        <v>0</v>
      </c>
      <c r="F63" s="152">
        <v>0</v>
      </c>
      <c r="G63" s="152">
        <v>0</v>
      </c>
      <c r="H63" s="152">
        <v>0</v>
      </c>
    </row>
    <row r="64" spans="4:8" ht="15.75">
      <c r="D64" s="12"/>
      <c r="E64" s="12"/>
      <c r="F64" s="12"/>
      <c r="G64" s="12"/>
      <c r="H64" s="12"/>
    </row>
    <row r="65" spans="2:8" ht="15.75">
      <c r="B65" s="17" t="s">
        <v>58</v>
      </c>
      <c r="D65" s="12">
        <f>SUM(D56,D60,D62:D63)</f>
        <v>72100</v>
      </c>
      <c r="E65" s="12">
        <f>SUM(E56,E60,E62:E63)</f>
        <v>72800</v>
      </c>
      <c r="F65" s="12">
        <f>SUM(F56,F60,F62:F63)</f>
        <v>77300</v>
      </c>
      <c r="G65" s="12">
        <f>SUM(G56,G60,G62:G63)</f>
        <v>88000</v>
      </c>
      <c r="H65" s="12">
        <f>SUM(H56,H60,H62:H63)</f>
        <v>92700</v>
      </c>
    </row>
    <row r="66" spans="4:8" ht="15.75">
      <c r="D66" s="12"/>
      <c r="E66" s="12"/>
      <c r="F66" s="12"/>
      <c r="G66" s="12"/>
      <c r="H66" s="12"/>
    </row>
    <row r="67" spans="2:8" ht="18" customHeight="1">
      <c r="B67" s="12" t="s">
        <v>137</v>
      </c>
      <c r="D67" s="151">
        <f>0</f>
        <v>0</v>
      </c>
      <c r="E67" s="151">
        <f>0</f>
        <v>0</v>
      </c>
      <c r="F67" s="151">
        <f>0</f>
        <v>0</v>
      </c>
      <c r="G67" s="151">
        <f>0</f>
        <v>0</v>
      </c>
      <c r="H67" s="151">
        <f>0</f>
        <v>0</v>
      </c>
    </row>
    <row r="68" spans="2:8" ht="18" customHeight="1">
      <c r="B68" s="12" t="s">
        <v>138</v>
      </c>
      <c r="D68" s="151">
        <v>3900</v>
      </c>
      <c r="E68" s="151">
        <v>3700</v>
      </c>
      <c r="F68" s="151">
        <v>3800</v>
      </c>
      <c r="G68" s="151">
        <v>5950</v>
      </c>
      <c r="H68" s="151">
        <v>4750</v>
      </c>
    </row>
    <row r="69" spans="2:8" ht="18" customHeight="1">
      <c r="B69" s="12" t="s">
        <v>139</v>
      </c>
      <c r="D69" s="151">
        <v>11200</v>
      </c>
      <c r="E69" s="151">
        <v>12100</v>
      </c>
      <c r="F69" s="151">
        <v>12800</v>
      </c>
      <c r="G69" s="151">
        <v>19000</v>
      </c>
      <c r="H69" s="151">
        <v>14700</v>
      </c>
    </row>
    <row r="70" spans="2:8" ht="18" customHeight="1">
      <c r="B70" s="12" t="s">
        <v>48</v>
      </c>
      <c r="D70" s="152">
        <v>1200</v>
      </c>
      <c r="E70" s="152">
        <v>1200</v>
      </c>
      <c r="F70" s="152">
        <v>50</v>
      </c>
      <c r="G70" s="152">
        <v>3700</v>
      </c>
      <c r="H70" s="152">
        <v>3600</v>
      </c>
    </row>
    <row r="71" spans="2:8" ht="18.75" customHeight="1">
      <c r="B71" s="30" t="s">
        <v>49</v>
      </c>
      <c r="D71" s="12">
        <f>SUM(D67:D70)</f>
        <v>16300</v>
      </c>
      <c r="E71" s="12">
        <f>SUM(E67:E70)</f>
        <v>17000</v>
      </c>
      <c r="F71" s="12">
        <f>SUM(F67:F70)</f>
        <v>16650</v>
      </c>
      <c r="G71" s="12">
        <f>SUM(G67:G70)</f>
        <v>28650</v>
      </c>
      <c r="H71" s="12">
        <f>SUM(H67:H70)</f>
        <v>23050</v>
      </c>
    </row>
    <row r="72" spans="4:8" ht="15.75">
      <c r="D72" s="12"/>
      <c r="E72" s="12"/>
      <c r="F72" s="12"/>
      <c r="G72" s="12"/>
      <c r="H72" s="12"/>
    </row>
    <row r="73" spans="2:8" ht="18" customHeight="1">
      <c r="B73" s="12" t="s">
        <v>55</v>
      </c>
      <c r="D73" s="151">
        <v>34100</v>
      </c>
      <c r="E73" s="151">
        <f>D73-E70</f>
        <v>32900</v>
      </c>
      <c r="F73" s="151">
        <f>E73-F70</f>
        <v>32850</v>
      </c>
      <c r="G73" s="151">
        <f>F73-G70</f>
        <v>29150</v>
      </c>
      <c r="H73" s="151">
        <f>G73-H70</f>
        <v>25550</v>
      </c>
    </row>
    <row r="74" spans="2:8" ht="18" customHeight="1">
      <c r="B74" s="12" t="s">
        <v>24</v>
      </c>
      <c r="D74" s="151">
        <v>700</v>
      </c>
      <c r="E74" s="151">
        <v>900</v>
      </c>
      <c r="F74" s="151">
        <v>1100</v>
      </c>
      <c r="G74" s="151">
        <v>1500</v>
      </c>
      <c r="H74" s="151">
        <v>1900</v>
      </c>
    </row>
    <row r="75" spans="4:8" ht="15.75">
      <c r="D75" s="151"/>
      <c r="E75" s="151"/>
      <c r="F75" s="151"/>
      <c r="G75" s="151"/>
      <c r="H75" s="151"/>
    </row>
    <row r="76" spans="2:8" ht="15.75">
      <c r="B76" s="30" t="s">
        <v>56</v>
      </c>
      <c r="D76" s="152">
        <v>21000</v>
      </c>
      <c r="E76" s="152">
        <v>22000</v>
      </c>
      <c r="F76" s="152">
        <v>26700</v>
      </c>
      <c r="G76" s="152">
        <v>28700</v>
      </c>
      <c r="H76" s="152">
        <v>42200</v>
      </c>
    </row>
    <row r="77" spans="4:8" ht="15.75">
      <c r="D77" s="12"/>
      <c r="E77" s="12"/>
      <c r="F77" s="12"/>
      <c r="G77" s="12"/>
      <c r="H77" s="12"/>
    </row>
    <row r="78" spans="2:8" ht="15.75">
      <c r="B78" s="22" t="s">
        <v>57</v>
      </c>
      <c r="D78" s="12">
        <f>SUM(D71:D76)</f>
        <v>72100</v>
      </c>
      <c r="E78" s="12">
        <f>SUM(E71:E76)</f>
        <v>72800</v>
      </c>
      <c r="F78" s="12">
        <f>SUM(F71:F76)</f>
        <v>77300</v>
      </c>
      <c r="G78" s="12">
        <f>SUM(G71:G76)</f>
        <v>88000</v>
      </c>
      <c r="H78" s="12">
        <f>SUM(H71:H76)</f>
        <v>92700</v>
      </c>
    </row>
    <row r="79" spans="2:10" ht="19.5" customHeight="1">
      <c r="B79" s="86"/>
      <c r="C79" s="86"/>
      <c r="D79" s="86"/>
      <c r="E79" s="86"/>
      <c r="F79" s="86"/>
      <c r="G79" s="86"/>
      <c r="H79" s="86"/>
      <c r="I79" s="101"/>
      <c r="J79" s="101"/>
    </row>
    <row r="80" spans="2:10" ht="19.5" customHeight="1">
      <c r="B80" s="86"/>
      <c r="C80" s="86"/>
      <c r="D80" s="86"/>
      <c r="E80" s="86"/>
      <c r="F80" s="86"/>
      <c r="G80" s="86"/>
      <c r="H80" s="86"/>
      <c r="I80" s="101"/>
      <c r="J80" s="101"/>
    </row>
    <row r="81" spans="2:10" ht="27.75" customHeight="1">
      <c r="B81" s="150">
        <f>$C$2</f>
        <v>0</v>
      </c>
      <c r="C81" s="86"/>
      <c r="D81" s="86"/>
      <c r="E81" s="86"/>
      <c r="F81" s="86"/>
      <c r="G81" s="86"/>
      <c r="H81" s="86"/>
      <c r="I81" s="101"/>
      <c r="J81" s="101"/>
    </row>
    <row r="82" spans="2:8" ht="18" customHeight="1">
      <c r="B82" s="18" t="s">
        <v>76</v>
      </c>
      <c r="C82" s="86"/>
      <c r="D82" s="86"/>
      <c r="E82" s="86"/>
      <c r="F82" s="86"/>
      <c r="G82" s="86"/>
      <c r="H82" s="86"/>
    </row>
    <row r="83" ht="18" customHeight="1">
      <c r="B83" s="12" t="s">
        <v>78</v>
      </c>
    </row>
    <row r="84" ht="19.5">
      <c r="B84" s="13"/>
    </row>
    <row r="85" spans="2:11" ht="40.5" customHeight="1">
      <c r="B85" s="149" t="s">
        <v>97</v>
      </c>
      <c r="C85" s="53"/>
      <c r="D85" s="94"/>
      <c r="E85" s="94"/>
      <c r="F85" s="94"/>
      <c r="G85" s="94"/>
      <c r="H85" s="94"/>
      <c r="I85" s="95"/>
      <c r="J85" s="95"/>
      <c r="K85" s="95"/>
    </row>
    <row r="86" ht="24.75" customHeight="1"/>
    <row r="87" spans="2:11" ht="15.75">
      <c r="B87" s="6" t="s">
        <v>120</v>
      </c>
      <c r="C87" s="6"/>
      <c r="D87" s="156">
        <v>1</v>
      </c>
      <c r="E87" s="156">
        <v>2</v>
      </c>
      <c r="F87" s="156">
        <v>3</v>
      </c>
      <c r="G87" s="156">
        <v>4</v>
      </c>
      <c r="H87" s="156">
        <v>5</v>
      </c>
      <c r="I87" s="96"/>
      <c r="J87" s="32" t="s">
        <v>96</v>
      </c>
      <c r="K87" s="96"/>
    </row>
    <row r="88" ht="18" customHeight="1"/>
    <row r="89" spans="2:10" ht="15.75">
      <c r="B89" s="22" t="s">
        <v>80</v>
      </c>
      <c r="D89" s="93">
        <f>D30</f>
        <v>4500</v>
      </c>
      <c r="E89" s="93">
        <f>E30</f>
        <v>5299.999999999998</v>
      </c>
      <c r="F89" s="93">
        <f>F30</f>
        <v>6729.999999999996</v>
      </c>
      <c r="G89" s="93">
        <f>G30</f>
        <v>8302.999999999993</v>
      </c>
      <c r="H89" s="93">
        <f>H30</f>
        <v>10033.300000000007</v>
      </c>
      <c r="J89" s="90" t="s">
        <v>27</v>
      </c>
    </row>
    <row r="90" ht="18" customHeight="1">
      <c r="B90" s="12"/>
    </row>
    <row r="91" ht="18.75" customHeight="1">
      <c r="B91" s="74" t="s">
        <v>60</v>
      </c>
    </row>
    <row r="92" spans="2:17" ht="31.5" customHeight="1">
      <c r="B92" s="98" t="s">
        <v>61</v>
      </c>
      <c r="C92" s="99"/>
      <c r="D92" s="153">
        <v>0</v>
      </c>
      <c r="E92" s="153">
        <v>0</v>
      </c>
      <c r="F92" s="153">
        <v>0</v>
      </c>
      <c r="G92" s="153">
        <v>0</v>
      </c>
      <c r="H92" s="153">
        <v>0</v>
      </c>
      <c r="I92" s="99"/>
      <c r="J92" s="90" t="s">
        <v>90</v>
      </c>
      <c r="K92" s="91"/>
      <c r="L92" s="91"/>
      <c r="M92" s="91"/>
      <c r="N92" s="91"/>
      <c r="O92" s="91"/>
      <c r="P92" s="91"/>
      <c r="Q92" s="91"/>
    </row>
    <row r="93" spans="2:17" ht="18" customHeight="1">
      <c r="B93" s="98" t="s">
        <v>26</v>
      </c>
      <c r="C93" s="99"/>
      <c r="D93" s="153">
        <f>-D34</f>
        <v>-149.50782</v>
      </c>
      <c r="E93" s="153">
        <f>-E34</f>
        <v>64.93396800000001</v>
      </c>
      <c r="F93" s="153">
        <f>-F34</f>
        <v>38.651316</v>
      </c>
      <c r="G93" s="153">
        <f>-G34</f>
        <v>-215.435572</v>
      </c>
      <c r="H93" s="153">
        <f>-H34</f>
        <v>-1395.108792</v>
      </c>
      <c r="I93" s="99"/>
      <c r="J93" s="90" t="s">
        <v>25</v>
      </c>
      <c r="K93" s="91"/>
      <c r="L93" s="91"/>
      <c r="M93" s="91"/>
      <c r="N93" s="91"/>
      <c r="O93" s="91"/>
      <c r="P93" s="91"/>
      <c r="Q93" s="91"/>
    </row>
    <row r="94" spans="2:17" ht="19.5" customHeight="1">
      <c r="B94" s="98" t="s">
        <v>103</v>
      </c>
      <c r="C94" s="99"/>
      <c r="D94" s="153">
        <v>0</v>
      </c>
      <c r="E94" s="153">
        <v>0</v>
      </c>
      <c r="F94" s="153">
        <v>0</v>
      </c>
      <c r="G94" s="153">
        <f>Adjustments!I30</f>
        <v>1041</v>
      </c>
      <c r="H94" s="153">
        <f>Adjustments!J30-Adjustments!I30</f>
        <v>-376</v>
      </c>
      <c r="I94" s="99"/>
      <c r="J94" s="90" t="s">
        <v>34</v>
      </c>
      <c r="K94" s="91"/>
      <c r="L94" s="91"/>
      <c r="M94" s="91"/>
      <c r="N94" s="91"/>
      <c r="O94" s="91"/>
      <c r="P94" s="91"/>
      <c r="Q94" s="91"/>
    </row>
    <row r="95" spans="2:17" ht="45.75" customHeight="1">
      <c r="B95" s="98" t="s">
        <v>35</v>
      </c>
      <c r="C95" s="99"/>
      <c r="D95" s="153">
        <f>Adjustments!E48</f>
        <v>334.8333333333335</v>
      </c>
      <c r="E95" s="153">
        <f>Adjustments!F48</f>
        <v>-150.33333333333303</v>
      </c>
      <c r="F95" s="153">
        <f>Adjustments!G48</f>
        <v>-89</v>
      </c>
      <c r="G95" s="153">
        <f>Adjustments!H48</f>
        <v>17.66666666666697</v>
      </c>
      <c r="H95" s="153">
        <f>Adjustments!I48</f>
        <v>-79.98733333333348</v>
      </c>
      <c r="I95" s="99"/>
      <c r="J95" s="90" t="s">
        <v>91</v>
      </c>
      <c r="K95" s="91"/>
      <c r="L95" s="91"/>
      <c r="M95" s="91"/>
      <c r="N95" s="91"/>
      <c r="O95" s="91"/>
      <c r="P95" s="91"/>
      <c r="Q95" s="91"/>
    </row>
    <row r="96" spans="2:10" ht="18.75" customHeight="1">
      <c r="B96" s="98" t="s">
        <v>99</v>
      </c>
      <c r="C96" s="99"/>
      <c r="D96" s="153">
        <f>Adjustments!F16</f>
        <v>3257.214</v>
      </c>
      <c r="E96" s="153">
        <f>Adjustments!G16</f>
        <v>3223.96</v>
      </c>
      <c r="F96" s="153">
        <f>Adjustments!H16</f>
        <v>3411.793</v>
      </c>
      <c r="G96" s="153">
        <f>Adjustments!I16</f>
        <v>3471.426</v>
      </c>
      <c r="H96" s="153">
        <f>Adjustments!J16</f>
        <v>3218.019</v>
      </c>
      <c r="I96" s="99"/>
      <c r="J96" s="90" t="s">
        <v>110</v>
      </c>
    </row>
    <row r="97" spans="2:10" ht="21.75" customHeight="1">
      <c r="B97" s="98" t="s">
        <v>63</v>
      </c>
      <c r="C97" s="99"/>
      <c r="D97" s="153">
        <v>0</v>
      </c>
      <c r="E97" s="153">
        <v>0</v>
      </c>
      <c r="F97" s="153">
        <v>0</v>
      </c>
      <c r="G97" s="153">
        <v>0</v>
      </c>
      <c r="H97" s="153">
        <v>0</v>
      </c>
      <c r="I97" s="99"/>
      <c r="J97" s="44"/>
    </row>
    <row r="98" spans="2:10" ht="27" customHeight="1">
      <c r="B98" s="100" t="s">
        <v>36</v>
      </c>
      <c r="C98" s="99"/>
      <c r="D98" s="154">
        <f>t*-SUM(D89,D92:D97)</f>
        <v>-2700.4634345333334</v>
      </c>
      <c r="E98" s="154">
        <f>t*-SUM(E89,E92:E97)</f>
        <v>-2869.110615786666</v>
      </c>
      <c r="F98" s="154">
        <f>t*-SUM(F89,F92:F97)</f>
        <v>-3431.0910674399993</v>
      </c>
      <c r="G98" s="154">
        <f>t*-SUM(G89,G92:G97)</f>
        <v>-4290.003412186664</v>
      </c>
      <c r="H98" s="154">
        <f>t*-SUM(H89,H92:H97)</f>
        <v>-3876.0757773866694</v>
      </c>
      <c r="I98" s="99"/>
      <c r="J98" s="90" t="s">
        <v>20</v>
      </c>
    </row>
    <row r="99" ht="18" customHeight="1">
      <c r="J99" s="45"/>
    </row>
    <row r="100" ht="18" customHeight="1">
      <c r="J100" s="45"/>
    </row>
    <row r="101" spans="2:10" ht="27.75" customHeight="1">
      <c r="B101" s="14" t="s">
        <v>64</v>
      </c>
      <c r="C101" s="15"/>
      <c r="D101" s="15">
        <f>SUM(D89,D92:D98)</f>
        <v>5242.0760788</v>
      </c>
      <c r="E101" s="15">
        <f>SUM(E89,E92:E98)</f>
        <v>5569.450018879998</v>
      </c>
      <c r="F101" s="15">
        <f>SUM(F89,F92:F98)</f>
        <v>6660.353248559998</v>
      </c>
      <c r="G101" s="15">
        <f>SUM(G89,G92:G98)</f>
        <v>8327.653682479995</v>
      </c>
      <c r="H101" s="15">
        <f>SUM(H89,H92:H98)</f>
        <v>7524.147097280003</v>
      </c>
      <c r="J101" s="45"/>
    </row>
    <row r="102" ht="15.75">
      <c r="J102" s="45"/>
    </row>
    <row r="103" spans="2:10" ht="27.75" customHeight="1">
      <c r="B103" s="150">
        <f>$C$2</f>
        <v>0</v>
      </c>
      <c r="J103" s="139" t="s">
        <v>21</v>
      </c>
    </row>
    <row r="104" spans="2:10" ht="19.5">
      <c r="B104" s="18" t="s">
        <v>76</v>
      </c>
      <c r="J104" s="45"/>
    </row>
    <row r="105" spans="2:10" ht="15.75">
      <c r="B105" s="12" t="s">
        <v>78</v>
      </c>
      <c r="J105" s="45"/>
    </row>
    <row r="106" spans="2:10" ht="15.75">
      <c r="B106" s="12"/>
      <c r="J106" s="45"/>
    </row>
    <row r="107" ht="15.75">
      <c r="J107" s="45"/>
    </row>
    <row r="108" spans="1:11" ht="40.5" customHeight="1">
      <c r="A108" s="101"/>
      <c r="B108" s="149" t="s">
        <v>40</v>
      </c>
      <c r="C108" s="102"/>
      <c r="D108" s="102"/>
      <c r="E108" s="102"/>
      <c r="F108" s="102"/>
      <c r="G108" s="102"/>
      <c r="H108" s="102"/>
      <c r="I108" s="103"/>
      <c r="J108" s="46"/>
      <c r="K108" s="103"/>
    </row>
    <row r="109" spans="1:10" ht="28.5" customHeight="1">
      <c r="A109" s="104"/>
      <c r="B109" s="20"/>
      <c r="C109" s="104"/>
      <c r="D109" s="104"/>
      <c r="E109" s="104"/>
      <c r="F109" s="104"/>
      <c r="G109" s="104"/>
      <c r="H109" s="104"/>
      <c r="J109" s="45"/>
    </row>
    <row r="110" spans="1:11" ht="15.75">
      <c r="A110" s="104"/>
      <c r="B110" s="6" t="s">
        <v>120</v>
      </c>
      <c r="C110" s="6"/>
      <c r="D110" s="156">
        <v>1</v>
      </c>
      <c r="E110" s="156">
        <v>2</v>
      </c>
      <c r="F110" s="156">
        <v>3</v>
      </c>
      <c r="G110" s="156">
        <v>4</v>
      </c>
      <c r="H110" s="156">
        <v>5</v>
      </c>
      <c r="I110" s="96"/>
      <c r="J110" s="32" t="s">
        <v>96</v>
      </c>
      <c r="K110" s="96"/>
    </row>
    <row r="111" ht="18" customHeight="1">
      <c r="J111" s="45"/>
    </row>
    <row r="112" spans="2:10" ht="18" customHeight="1">
      <c r="B112" s="8" t="s">
        <v>65</v>
      </c>
      <c r="J112" s="45"/>
    </row>
    <row r="113" spans="2:10" ht="18" customHeight="1">
      <c r="B113" s="30" t="s">
        <v>66</v>
      </c>
      <c r="D113" s="99">
        <f>D67+D70+D73</f>
        <v>35300</v>
      </c>
      <c r="E113" s="99">
        <f>E67+E70+E73</f>
        <v>34100</v>
      </c>
      <c r="F113" s="99">
        <f>F67+F70+F73</f>
        <v>32900</v>
      </c>
      <c r="G113" s="99">
        <f>G67+G70+G73</f>
        <v>32850</v>
      </c>
      <c r="H113" s="99">
        <f>H67+H70+H73</f>
        <v>29150</v>
      </c>
      <c r="I113" s="99"/>
      <c r="J113" s="90" t="s">
        <v>108</v>
      </c>
    </row>
    <row r="114" spans="2:10" ht="18" customHeight="1">
      <c r="B114" s="30" t="s">
        <v>67</v>
      </c>
      <c r="D114" s="105">
        <f>D76</f>
        <v>21000</v>
      </c>
      <c r="E114" s="105">
        <f>E76</f>
        <v>22000</v>
      </c>
      <c r="F114" s="105">
        <f>F76</f>
        <v>26700</v>
      </c>
      <c r="G114" s="105">
        <f>G76</f>
        <v>28700</v>
      </c>
      <c r="H114" s="105">
        <f>G114+H38</f>
        <v>33039.00807032001</v>
      </c>
      <c r="I114" s="99"/>
      <c r="J114" s="90" t="s">
        <v>109</v>
      </c>
    </row>
    <row r="115" spans="2:10" s="133" customFormat="1" ht="18" customHeight="1">
      <c r="B115" s="106" t="s">
        <v>101</v>
      </c>
      <c r="D115" s="134">
        <f>SUM(D113:D114)</f>
        <v>56300</v>
      </c>
      <c r="E115" s="134">
        <f>SUM(E113:E114)</f>
        <v>56100</v>
      </c>
      <c r="F115" s="134">
        <f>SUM(F113:F114)</f>
        <v>59600</v>
      </c>
      <c r="G115" s="134">
        <f>SUM(G113:G114)</f>
        <v>61550</v>
      </c>
      <c r="H115" s="134">
        <f>SUM(H113:H114)</f>
        <v>62189.00807032001</v>
      </c>
      <c r="I115" s="134"/>
      <c r="J115" s="128"/>
    </row>
    <row r="116" spans="2:10" ht="18" customHeight="1">
      <c r="B116" s="106"/>
      <c r="D116" s="99"/>
      <c r="E116" s="99"/>
      <c r="F116" s="99"/>
      <c r="G116" s="99"/>
      <c r="H116" s="99"/>
      <c r="I116" s="99"/>
      <c r="J116" s="90"/>
    </row>
    <row r="117" spans="2:10" ht="18.75" customHeight="1">
      <c r="B117" s="74" t="s">
        <v>60</v>
      </c>
      <c r="D117" s="99"/>
      <c r="E117" s="99"/>
      <c r="F117" s="99"/>
      <c r="G117" s="99"/>
      <c r="H117" s="99"/>
      <c r="I117" s="99"/>
      <c r="J117" s="44"/>
    </row>
    <row r="118" spans="2:10" ht="48" customHeight="1">
      <c r="B118" s="107" t="s">
        <v>46</v>
      </c>
      <c r="D118" s="153">
        <f>Adjustments!E42</f>
        <v>6901.166666666666</v>
      </c>
      <c r="E118" s="153">
        <f>Adjustments!F42</f>
        <v>6750.833333333333</v>
      </c>
      <c r="F118" s="153">
        <f>Adjustments!G42</f>
        <v>6661.833333333333</v>
      </c>
      <c r="G118" s="153">
        <f>Adjustments!H42</f>
        <v>6679.5</v>
      </c>
      <c r="H118" s="153">
        <f>Adjustments!I42</f>
        <v>6599.5126666666665</v>
      </c>
      <c r="I118" s="99"/>
      <c r="J118" s="90" t="s">
        <v>22</v>
      </c>
    </row>
    <row r="119" spans="2:10" ht="18.75" customHeight="1">
      <c r="B119" s="107" t="s">
        <v>61</v>
      </c>
      <c r="D119" s="153">
        <v>0</v>
      </c>
      <c r="E119" s="153">
        <v>0</v>
      </c>
      <c r="F119" s="153">
        <v>0</v>
      </c>
      <c r="G119" s="153">
        <v>0</v>
      </c>
      <c r="H119" s="153">
        <v>0</v>
      </c>
      <c r="I119" s="99"/>
      <c r="J119" s="90" t="s">
        <v>16</v>
      </c>
    </row>
    <row r="120" spans="2:10" ht="18.75" customHeight="1">
      <c r="B120" s="107" t="s">
        <v>136</v>
      </c>
      <c r="D120" s="153">
        <v>0</v>
      </c>
      <c r="E120" s="153">
        <v>0</v>
      </c>
      <c r="F120" s="153">
        <v>0</v>
      </c>
      <c r="G120" s="153">
        <v>0</v>
      </c>
      <c r="H120" s="153">
        <v>0</v>
      </c>
      <c r="I120" s="99"/>
      <c r="J120" s="90" t="s">
        <v>30</v>
      </c>
    </row>
    <row r="121" spans="2:10" ht="15.75">
      <c r="B121" s="107" t="s">
        <v>51</v>
      </c>
      <c r="D121" s="154">
        <f>Adjustments!F18</f>
        <v>10558.167350882988</v>
      </c>
      <c r="E121" s="154">
        <f>Adjustments!G18</f>
        <v>12644.516785101425</v>
      </c>
      <c r="F121" s="154">
        <f>Adjustments!H18</f>
        <v>11678.354034261589</v>
      </c>
      <c r="G121" s="154">
        <f>Adjustments!I18</f>
        <v>9699.828903310692</v>
      </c>
      <c r="H121" s="154">
        <f>Adjustments!J18</f>
        <v>7399.953761038409</v>
      </c>
      <c r="I121" s="99"/>
      <c r="J121" s="166" t="s">
        <v>54</v>
      </c>
    </row>
    <row r="122" spans="2:10" ht="24" customHeight="1">
      <c r="B122" s="106"/>
      <c r="D122" s="99"/>
      <c r="E122" s="99"/>
      <c r="F122" s="99"/>
      <c r="G122" s="99"/>
      <c r="H122" s="99"/>
      <c r="I122" s="99"/>
      <c r="J122" s="166"/>
    </row>
    <row r="123" spans="2:10" s="133" customFormat="1" ht="27.75" customHeight="1">
      <c r="B123" s="14" t="s">
        <v>100</v>
      </c>
      <c r="C123" s="15"/>
      <c r="D123" s="15">
        <f>SUM(D115,D118:D121)</f>
        <v>73759.33401754966</v>
      </c>
      <c r="E123" s="15">
        <f>SUM(E115,E118:E121)</f>
        <v>75495.35011843476</v>
      </c>
      <c r="F123" s="15">
        <f>SUM(F115,F118:F121)</f>
        <v>77940.18736759492</v>
      </c>
      <c r="G123" s="15">
        <f>SUM(G115,G118:G121)</f>
        <v>77929.3289033107</v>
      </c>
      <c r="H123" s="15">
        <f>SUM(H115,H118:H121)</f>
        <v>76188.47449802508</v>
      </c>
      <c r="I123" s="134"/>
      <c r="J123" s="128"/>
    </row>
    <row r="124" spans="2:10" s="133" customFormat="1" ht="18" customHeight="1">
      <c r="B124" s="29"/>
      <c r="D124" s="134"/>
      <c r="E124" s="134"/>
      <c r="F124" s="134"/>
      <c r="G124" s="134"/>
      <c r="H124" s="134"/>
      <c r="I124" s="134"/>
      <c r="J124" s="128"/>
    </row>
    <row r="125" spans="2:10" s="133" customFormat="1" ht="18" customHeight="1">
      <c r="B125" s="29"/>
      <c r="D125" s="134"/>
      <c r="E125" s="134"/>
      <c r="F125" s="134"/>
      <c r="G125" s="134"/>
      <c r="H125" s="134"/>
      <c r="I125" s="134"/>
      <c r="J125" s="128"/>
    </row>
    <row r="126" spans="2:10" s="133" customFormat="1" ht="18" customHeight="1">
      <c r="B126" s="29"/>
      <c r="D126" s="134"/>
      <c r="E126" s="134"/>
      <c r="F126" s="134"/>
      <c r="G126" s="134"/>
      <c r="H126" s="134"/>
      <c r="I126" s="134"/>
      <c r="J126" s="128"/>
    </row>
    <row r="127" spans="2:10" ht="15.75">
      <c r="B127" s="106"/>
      <c r="D127" s="99"/>
      <c r="E127" s="99"/>
      <c r="F127" s="99"/>
      <c r="G127" s="99"/>
      <c r="H127" s="99"/>
      <c r="I127" s="99"/>
      <c r="J127" s="90"/>
    </row>
    <row r="128" spans="2:10" ht="21.75" customHeight="1">
      <c r="B128" s="52" t="s">
        <v>68</v>
      </c>
      <c r="D128" s="51" t="s">
        <v>94</v>
      </c>
      <c r="E128" s="51" t="s">
        <v>95</v>
      </c>
      <c r="F128" s="51" t="s">
        <v>38</v>
      </c>
      <c r="J128" s="90"/>
    </row>
    <row r="129" spans="2:10" ht="19.5" customHeight="1">
      <c r="B129" s="30" t="s">
        <v>53</v>
      </c>
      <c r="D129" s="120">
        <v>0.065</v>
      </c>
      <c r="E129" s="108">
        <f>D129*(1-t)</f>
        <v>0.042899999999999994</v>
      </c>
      <c r="F129" s="143">
        <v>0.55</v>
      </c>
      <c r="J129" s="90"/>
    </row>
    <row r="130" spans="2:10" ht="18" customHeight="1">
      <c r="B130" s="30" t="s">
        <v>67</v>
      </c>
      <c r="D130" s="120">
        <v>0.2</v>
      </c>
      <c r="E130" s="108">
        <f>D130</f>
        <v>0.2</v>
      </c>
      <c r="F130" s="143">
        <v>0.45</v>
      </c>
      <c r="J130" s="90"/>
    </row>
    <row r="131" spans="2:10" ht="18" customHeight="1">
      <c r="B131" s="106" t="s">
        <v>69</v>
      </c>
      <c r="D131" s="108">
        <f>(D129*F129)+(D130*F130)</f>
        <v>0.12575000000000003</v>
      </c>
      <c r="E131" s="108">
        <f>(E129*F129)+(E130*F130)</f>
        <v>0.113595</v>
      </c>
      <c r="J131" s="166" t="s">
        <v>105</v>
      </c>
    </row>
    <row r="132" ht="18" customHeight="1">
      <c r="J132" s="165"/>
    </row>
    <row r="133" spans="2:4" ht="18" customHeight="1">
      <c r="B133" s="30" t="s">
        <v>70</v>
      </c>
      <c r="D133" s="120">
        <v>0.34</v>
      </c>
    </row>
    <row r="134" ht="18" customHeight="1">
      <c r="B134" s="30"/>
    </row>
    <row r="135" spans="2:10" ht="27.75" customHeight="1">
      <c r="B135" s="150">
        <f>$C$2</f>
        <v>0</v>
      </c>
      <c r="D135" s="108"/>
      <c r="J135" s="45"/>
    </row>
    <row r="136" spans="2:10" ht="18.75" customHeight="1">
      <c r="B136" s="18" t="s">
        <v>76</v>
      </c>
      <c r="D136" s="108"/>
      <c r="J136" s="45"/>
    </row>
    <row r="137" spans="2:10" ht="15.75">
      <c r="B137" s="12" t="s">
        <v>78</v>
      </c>
      <c r="D137" s="108"/>
      <c r="J137" s="45"/>
    </row>
    <row r="138" spans="2:10" ht="15.75">
      <c r="B138" s="30"/>
      <c r="D138" s="108"/>
      <c r="J138" s="45"/>
    </row>
    <row r="139" spans="2:9" ht="40.5" customHeight="1">
      <c r="B139" s="149" t="s">
        <v>47</v>
      </c>
      <c r="C139" s="102"/>
      <c r="D139" s="102"/>
      <c r="E139" s="102"/>
      <c r="F139" s="102"/>
      <c r="G139" s="102"/>
      <c r="H139" s="102"/>
      <c r="I139" s="103"/>
    </row>
    <row r="140" spans="2:10" ht="22.5" customHeight="1">
      <c r="B140" s="20"/>
      <c r="C140" s="104"/>
      <c r="D140" s="157"/>
      <c r="E140" s="157"/>
      <c r="F140" s="157"/>
      <c r="G140" s="157"/>
      <c r="H140" s="157"/>
      <c r="J140" s="45"/>
    </row>
    <row r="141" spans="2:10" ht="15.75">
      <c r="B141" s="6" t="s">
        <v>120</v>
      </c>
      <c r="C141" s="6"/>
      <c r="D141" s="156">
        <v>1</v>
      </c>
      <c r="E141" s="156">
        <v>2</v>
      </c>
      <c r="F141" s="156">
        <v>3</v>
      </c>
      <c r="G141" s="156">
        <v>4</v>
      </c>
      <c r="H141" s="156">
        <v>5</v>
      </c>
      <c r="J141" s="45"/>
    </row>
    <row r="142" spans="2:10" ht="15.75">
      <c r="B142" s="37"/>
      <c r="C142" s="37"/>
      <c r="D142" s="38"/>
      <c r="E142" s="38"/>
      <c r="F142" s="38"/>
      <c r="G142" s="38"/>
      <c r="H142" s="38"/>
      <c r="J142" s="45"/>
    </row>
    <row r="143" spans="2:10" ht="15.75">
      <c r="B143" s="12" t="s">
        <v>64</v>
      </c>
      <c r="D143" s="109">
        <f>D101</f>
        <v>5242.0760788</v>
      </c>
      <c r="E143" s="109">
        <f>E101</f>
        <v>5569.450018879998</v>
      </c>
      <c r="F143" s="109">
        <f>F101</f>
        <v>6660.353248559998</v>
      </c>
      <c r="G143" s="109">
        <f>G101</f>
        <v>8327.653682479995</v>
      </c>
      <c r="H143" s="109">
        <f>H101</f>
        <v>7524.147097280003</v>
      </c>
      <c r="J143" s="45"/>
    </row>
    <row r="144" spans="2:10" ht="15.75">
      <c r="B144" s="12"/>
      <c r="D144" s="109"/>
      <c r="E144" s="109"/>
      <c r="F144" s="109"/>
      <c r="G144" s="109"/>
      <c r="H144" s="109"/>
      <c r="J144" s="45"/>
    </row>
    <row r="145" spans="2:10" ht="15.75">
      <c r="B145" s="12" t="s">
        <v>71</v>
      </c>
      <c r="D145" s="109">
        <f>D123*k</f>
        <v>8378.691547723553</v>
      </c>
      <c r="E145" s="109">
        <f>E123*k</f>
        <v>8575.894296703596</v>
      </c>
      <c r="F145" s="109">
        <f>F123*k</f>
        <v>8853.615584021945</v>
      </c>
      <c r="G145" s="109">
        <f>G123*k</f>
        <v>8852.38211677158</v>
      </c>
      <c r="H145" s="109">
        <f>H123*k</f>
        <v>8654.62976060316</v>
      </c>
      <c r="J145" s="45"/>
    </row>
    <row r="146" ht="15.75">
      <c r="J146" s="45"/>
    </row>
    <row r="147" spans="2:10" s="101" customFormat="1" ht="27.75" customHeight="1">
      <c r="B147" s="14" t="s">
        <v>77</v>
      </c>
      <c r="C147" s="15"/>
      <c r="D147" s="15">
        <f>D101-D145</f>
        <v>-3136.6154689235527</v>
      </c>
      <c r="E147" s="15">
        <f>E101-E145</f>
        <v>-3006.444277823598</v>
      </c>
      <c r="F147" s="15">
        <f>F101-F145</f>
        <v>-2193.2623354619473</v>
      </c>
      <c r="G147" s="15">
        <f>G101-G145</f>
        <v>-524.7284342915846</v>
      </c>
      <c r="H147" s="15">
        <f>H101-H145</f>
        <v>-1130.4826633231569</v>
      </c>
      <c r="I147" s="110"/>
      <c r="J147" s="47"/>
    </row>
    <row r="148" ht="15.75">
      <c r="J148" s="45"/>
    </row>
    <row r="149" spans="2:10" ht="15.75">
      <c r="B149" s="29" t="s">
        <v>84</v>
      </c>
      <c r="D149" s="93">
        <f>(D147/(1+k)^D154)</f>
        <v>-2039.6337549952402</v>
      </c>
      <c r="E149" s="93">
        <f>(E147/(1+k)^E154)+(D147/(1+k)^D154)</f>
        <v>-4216.698485210321</v>
      </c>
      <c r="F149" s="93">
        <f>(F147/(1+k)^F154)+(E147/(1+k)^E154)+(D147/(1+k)^D154)</f>
        <v>-5985.324610887834</v>
      </c>
      <c r="G149" s="93">
        <f>(G147/(1+k)^G154)+(F147/(1+k)^F154)+(E147/(1+k)^E154)+(D147/(1+k)^D154)+(C147/(1+k)^C154)</f>
        <v>-6456.526829191243</v>
      </c>
      <c r="H149" s="93">
        <f>(H147/(1+k)^H154)+(G147/(1+k)^G154)+(F147/(1+k)^F154)+(E147/(1+k)^E154)+(D147/(1+k)^D154)</f>
        <v>-7587.0094925144</v>
      </c>
      <c r="J149" s="45"/>
    </row>
    <row r="150" spans="2:10" ht="15.75">
      <c r="B150" s="29"/>
      <c r="J150" s="45"/>
    </row>
    <row r="151" spans="2:10" s="133" customFormat="1" ht="19.5" customHeight="1">
      <c r="B151" s="29" t="s">
        <v>1</v>
      </c>
      <c r="D151" s="135">
        <f>D143/D123</f>
        <v>0.0710700028494393</v>
      </c>
      <c r="E151" s="135">
        <f>E143/E123</f>
        <v>0.07377209338247745</v>
      </c>
      <c r="F151" s="135">
        <f>F143/F123</f>
        <v>0.08545467330155744</v>
      </c>
      <c r="G151" s="135">
        <f>G143/G123</f>
        <v>0.10686161166372124</v>
      </c>
      <c r="H151" s="135">
        <f>H143/H123</f>
        <v>0.09875702521744335</v>
      </c>
      <c r="J151" s="130"/>
    </row>
    <row r="152" spans="2:10" s="133" customFormat="1" ht="19.5" customHeight="1">
      <c r="B152" s="29" t="s">
        <v>28</v>
      </c>
      <c r="D152" s="136">
        <f>k</f>
        <v>0.113595</v>
      </c>
      <c r="E152" s="136">
        <f>k</f>
        <v>0.113595</v>
      </c>
      <c r="F152" s="136">
        <f>k</f>
        <v>0.113595</v>
      </c>
      <c r="G152" s="136">
        <f>k</f>
        <v>0.113595</v>
      </c>
      <c r="H152" s="136">
        <f>k</f>
        <v>0.113595</v>
      </c>
      <c r="J152" s="130"/>
    </row>
    <row r="153" spans="2:10" ht="15.75">
      <c r="B153" s="29"/>
      <c r="J153" s="45"/>
    </row>
    <row r="154" spans="2:10" ht="15.75" hidden="1">
      <c r="B154" s="17"/>
      <c r="D154" s="12">
        <v>4</v>
      </c>
      <c r="E154" s="93">
        <v>3</v>
      </c>
      <c r="F154" s="93">
        <v>2</v>
      </c>
      <c r="G154" s="93">
        <v>1</v>
      </c>
      <c r="H154" s="93">
        <v>0</v>
      </c>
      <c r="J154" s="45"/>
    </row>
    <row r="155" spans="2:10" ht="15.75">
      <c r="B155" s="17" t="s">
        <v>29</v>
      </c>
      <c r="D155" s="111">
        <f>D151-D152</f>
        <v>-0.0425249971505607</v>
      </c>
      <c r="E155" s="111">
        <f>E151-E152</f>
        <v>-0.03982290661752255</v>
      </c>
      <c r="F155" s="111">
        <f>F151-F152</f>
        <v>-0.02814032669844256</v>
      </c>
      <c r="G155" s="111">
        <f>G151-G152</f>
        <v>-0.006733388336278762</v>
      </c>
      <c r="H155" s="111">
        <f>H151-H152</f>
        <v>-0.014837974782556648</v>
      </c>
      <c r="J155" s="45"/>
    </row>
    <row r="156" spans="2:10" ht="15.75">
      <c r="B156" s="17"/>
      <c r="D156" s="12"/>
      <c r="J156" s="45"/>
    </row>
    <row r="157" spans="2:10" ht="15.75">
      <c r="B157" s="17"/>
      <c r="J157" s="45"/>
    </row>
    <row r="158" spans="2:10" s="101" customFormat="1" ht="19.5" customHeight="1">
      <c r="B158" s="81" t="s">
        <v>81</v>
      </c>
      <c r="C158" s="112"/>
      <c r="D158" s="113"/>
      <c r="E158" s="112"/>
      <c r="F158" s="112"/>
      <c r="G158" s="112"/>
      <c r="H158" s="112"/>
      <c r="I158" s="112"/>
      <c r="J158" s="47"/>
    </row>
    <row r="159" spans="2:10" ht="24.75" customHeight="1">
      <c r="B159" s="30" t="s">
        <v>88</v>
      </c>
      <c r="D159" s="12">
        <f>D35+D33</f>
        <v>4350.49218</v>
      </c>
      <c r="E159" s="12">
        <f>E35+E33</f>
        <v>5364.933967999998</v>
      </c>
      <c r="F159" s="12">
        <f>F35+F33</f>
        <v>6768.651315999998</v>
      </c>
      <c r="G159" s="12">
        <f>G35+G33</f>
        <v>8087.564427999992</v>
      </c>
      <c r="H159" s="12">
        <f>H35+H33</f>
        <v>8638.191208000006</v>
      </c>
      <c r="J159" s="45"/>
    </row>
    <row r="160" spans="2:10" ht="24.75" customHeight="1">
      <c r="B160" s="75" t="s">
        <v>129</v>
      </c>
      <c r="C160" s="114"/>
      <c r="D160" s="114">
        <f>D30+D29</f>
        <v>13000</v>
      </c>
      <c r="E160" s="114">
        <f>E30+E29</f>
        <v>14299.999999999998</v>
      </c>
      <c r="F160" s="114">
        <f>F30+F29</f>
        <v>15729.999999999996</v>
      </c>
      <c r="G160" s="114">
        <f>G30+G29</f>
        <v>17302.999999999993</v>
      </c>
      <c r="H160" s="114">
        <f>H30+H29</f>
        <v>19033.300000000007</v>
      </c>
      <c r="J160" s="45"/>
    </row>
    <row r="161" spans="2:10" ht="24.75" customHeight="1">
      <c r="B161" s="30" t="s">
        <v>72</v>
      </c>
      <c r="D161" s="111">
        <f>D22</f>
        <v>-0.1269738869421232</v>
      </c>
      <c r="E161" s="111">
        <f>E21/D21-1</f>
        <v>0.10000000000000009</v>
      </c>
      <c r="F161" s="111">
        <f>F21/E21-1</f>
        <v>0.10000000000000009</v>
      </c>
      <c r="G161" s="111">
        <f>G21/F21-1</f>
        <v>0.09999999999999987</v>
      </c>
      <c r="H161" s="111">
        <f>H21/G21-1</f>
        <v>0.10000000000000009</v>
      </c>
      <c r="J161" s="45"/>
    </row>
    <row r="162" spans="2:10" ht="24.75" customHeight="1">
      <c r="B162" s="30" t="s">
        <v>82</v>
      </c>
      <c r="D162" s="108">
        <f>D30/6905.251-1</f>
        <v>-0.3483220233413673</v>
      </c>
      <c r="E162" s="108">
        <f>E30/D30-1</f>
        <v>0.17777777777777737</v>
      </c>
      <c r="F162" s="108">
        <f>F30/E30-1</f>
        <v>0.2698113207547168</v>
      </c>
      <c r="G162" s="108">
        <f>G30/F30-1</f>
        <v>0.2337295690936103</v>
      </c>
      <c r="H162" s="108">
        <f>H30/G30-1</f>
        <v>0.20839455618451352</v>
      </c>
      <c r="J162" s="45"/>
    </row>
    <row r="163" spans="2:10" ht="24.75" customHeight="1">
      <c r="B163" s="75" t="s">
        <v>83</v>
      </c>
      <c r="C163" s="114"/>
      <c r="D163" s="115">
        <f>D38/7066.255-1</f>
        <v>-0.763028974674704</v>
      </c>
      <c r="E163" s="115">
        <f>E38/D38-1</f>
        <v>0.39586064835156365</v>
      </c>
      <c r="F163" s="115">
        <f>F38/E38-1</f>
        <v>0.40245003393767154</v>
      </c>
      <c r="G163" s="115">
        <f>G38/F38-1</f>
        <v>0.25214212139093917</v>
      </c>
      <c r="H163" s="115">
        <f>H38/G38-1</f>
        <v>0.05711641833876935</v>
      </c>
      <c r="J163" s="45"/>
    </row>
    <row r="164" spans="2:10" ht="24.75" customHeight="1">
      <c r="B164" s="30" t="s">
        <v>79</v>
      </c>
      <c r="D164" s="116">
        <f>D31</f>
        <v>0.045</v>
      </c>
      <c r="E164" s="116">
        <f>E31</f>
        <v>0.04818181818181816</v>
      </c>
      <c r="F164" s="116">
        <f>F31</f>
        <v>0.055619834710743755</v>
      </c>
      <c r="G164" s="116">
        <f>G31</f>
        <v>0.062381667918857936</v>
      </c>
      <c r="H164" s="116">
        <f>H31</f>
        <v>0.06852878901714365</v>
      </c>
      <c r="J164" s="45"/>
    </row>
    <row r="165" spans="2:10" ht="24.75" customHeight="1">
      <c r="B165" s="30" t="s">
        <v>92</v>
      </c>
      <c r="D165" s="116">
        <f>D39</f>
        <v>0.016744976925599998</v>
      </c>
      <c r="E165" s="116">
        <f>E39</f>
        <v>0.021248776679999984</v>
      </c>
      <c r="F165" s="116">
        <f>F39</f>
        <v>0.02709122506909089</v>
      </c>
      <c r="G165" s="116">
        <f>G39</f>
        <v>0.030838240026446237</v>
      </c>
      <c r="H165" s="116">
        <f>H39</f>
        <v>0.029636008949661924</v>
      </c>
      <c r="J165" s="45"/>
    </row>
    <row r="166" spans="2:10" ht="24.75" customHeight="1">
      <c r="B166" s="75" t="s">
        <v>114</v>
      </c>
      <c r="C166" s="114"/>
      <c r="D166" s="117">
        <f>D42</f>
        <v>0.1285049218</v>
      </c>
      <c r="E166" s="117">
        <f>E42</f>
        <v>0.13059030879999997</v>
      </c>
      <c r="F166" s="117">
        <f>F42</f>
        <v>0.1303194323636363</v>
      </c>
      <c r="G166" s="117">
        <f>G42</f>
        <v>0.12838140066115694</v>
      </c>
      <c r="H166" s="117">
        <f>H42</f>
        <v>0.1204712192336589</v>
      </c>
      <c r="J166" s="45"/>
    </row>
    <row r="167" spans="2:10" ht="24.75" customHeight="1">
      <c r="B167" s="30" t="s">
        <v>4</v>
      </c>
      <c r="D167" s="111">
        <f>D38/D76</f>
        <v>0.07973798536</v>
      </c>
      <c r="E167" s="111">
        <f>E38/E76</f>
        <v>0.10624388339999993</v>
      </c>
      <c r="F167" s="111">
        <f>F38/F76</f>
        <v>0.12277296754157296</v>
      </c>
      <c r="G167" s="111">
        <f>G38/G76</f>
        <v>0.1430163675094075</v>
      </c>
      <c r="H167" s="111">
        <f>H38/H76</f>
        <v>0.10282009645308066</v>
      </c>
      <c r="J167" s="45"/>
    </row>
    <row r="168" spans="2:10" ht="24.75" customHeight="1">
      <c r="B168" s="79" t="s">
        <v>87</v>
      </c>
      <c r="C168" s="114"/>
      <c r="D168" s="118">
        <f>D38/(D65-D68-D69)</f>
        <v>0.02937715250105263</v>
      </c>
      <c r="E168" s="118">
        <f>E38/(E65-E68-E69)</f>
        <v>0.04100641113684208</v>
      </c>
      <c r="F168" s="118">
        <f>F38/(F65-F68-F69)</f>
        <v>0.05400392476705104</v>
      </c>
      <c r="G168" s="118">
        <f>G38/(G65-G68-G69)</f>
        <v>0.06510023390198247</v>
      </c>
      <c r="H168" s="118">
        <f>H38/(H65-H68-H69)</f>
        <v>0.05923560505556319</v>
      </c>
      <c r="J168" s="45"/>
    </row>
    <row r="169" spans="2:10" ht="15.75">
      <c r="B169" s="30"/>
      <c r="D169" s="12"/>
      <c r="J169" s="45"/>
    </row>
    <row r="170" spans="2:10" ht="15.75">
      <c r="B170" s="30" t="s">
        <v>50</v>
      </c>
      <c r="D170" s="119">
        <f>D21/D58</f>
        <v>1.0526315789473684</v>
      </c>
      <c r="E170" s="119">
        <f>E21/E58</f>
        <v>1.0628019323671498</v>
      </c>
      <c r="F170" s="119">
        <f>F21/F58</f>
        <v>1.0707964601769915</v>
      </c>
      <c r="G170" s="119">
        <f>G21/G58</f>
        <v>1.0909836065573773</v>
      </c>
      <c r="H170" s="119">
        <f>H21/H58</f>
        <v>1.0710314557425022</v>
      </c>
      <c r="J170" s="45"/>
    </row>
    <row r="171" spans="2:10" ht="15.75">
      <c r="B171" s="30"/>
      <c r="D171" s="12"/>
      <c r="J171" s="45"/>
    </row>
    <row r="172" spans="4:10" ht="15.75">
      <c r="D172" s="137"/>
      <c r="J172" s="45"/>
    </row>
    <row r="204" spans="4:10" ht="15.75">
      <c r="D204" s="16"/>
      <c r="E204" s="16"/>
      <c r="F204" s="16"/>
      <c r="G204" s="16"/>
      <c r="H204" s="16"/>
      <c r="J204" s="45"/>
    </row>
    <row r="239" ht="15.75">
      <c r="B239" s="12"/>
    </row>
    <row r="240" ht="15.75">
      <c r="B240" s="12"/>
    </row>
    <row r="245" ht="15.75">
      <c r="J245" s="137"/>
    </row>
  </sheetData>
  <mergeCells count="4">
    <mergeCell ref="J131:J132"/>
    <mergeCell ref="J121:J122"/>
    <mergeCell ref="B5:I11"/>
    <mergeCell ref="C3:D3"/>
  </mergeCells>
  <printOptions/>
  <pageMargins left="0.75" right="0.552083333333333" top="0.5" bottom="0.75" header="0.5" footer="0.5"/>
  <pageSetup orientation="landscape" paperSize="9" scale="66"/>
  <headerFooter alignWithMargins="0">
    <oddFooter>&amp;L&amp;"AGaramond Semibold,Regular"&amp;A&amp;C&amp;"AGaramond Semibold,Regular"- &amp;P -&amp;R&amp;G</oddFooter>
  </headerFooter>
  <rowBreaks count="4" manualBreakCount="4">
    <brk id="42" max="10" man="1"/>
    <brk id="79" max="10" man="1"/>
    <brk id="101" max="10" man="1"/>
    <brk id="134" max="10" man="1"/>
  </rowBreaks>
  <legacyDrawingHF r:id="rId1"/>
</worksheet>
</file>

<file path=xl/worksheets/sheet4.xml><?xml version="1.0" encoding="utf-8"?>
<worksheet xmlns="http://schemas.openxmlformats.org/spreadsheetml/2006/main" xmlns:r="http://schemas.openxmlformats.org/officeDocument/2006/relationships">
  <dimension ref="B6:J57"/>
  <sheetViews>
    <sheetView workbookViewId="0" topLeftCell="A1">
      <selection activeCell="B1" sqref="B1"/>
    </sheetView>
  </sheetViews>
  <sheetFormatPr defaultColWidth="8.88671875" defaultRowHeight="15.75"/>
  <cols>
    <col min="1" max="1" width="2.88671875" style="1" customWidth="1"/>
    <col min="2" max="2" width="13.5546875" style="1" customWidth="1"/>
    <col min="3" max="3" width="14.5546875" style="1" customWidth="1"/>
    <col min="4" max="4" width="15.10546875" style="1" customWidth="1"/>
    <col min="5" max="5" width="11.6640625" style="1" customWidth="1"/>
    <col min="6" max="6" width="12.4453125" style="1" bestFit="1" customWidth="1"/>
    <col min="7" max="8" width="10.88671875" style="1" bestFit="1" customWidth="1"/>
    <col min="9" max="16384" width="10.6640625" style="1" customWidth="1"/>
  </cols>
  <sheetData>
    <row r="6" spans="2:10" ht="19.5" customHeight="1">
      <c r="B6" s="57" t="s">
        <v>111</v>
      </c>
      <c r="C6" s="58"/>
      <c r="D6" s="58"/>
      <c r="E6" s="58"/>
      <c r="F6" s="58"/>
      <c r="G6" s="58"/>
      <c r="H6" s="58"/>
      <c r="I6" s="58"/>
      <c r="J6" s="59"/>
    </row>
    <row r="7" spans="2:10" ht="15.75">
      <c r="B7" s="68" t="s">
        <v>120</v>
      </c>
      <c r="C7" s="2"/>
      <c r="D7" s="2"/>
      <c r="E7" s="2"/>
      <c r="F7" s="2">
        <v>1</v>
      </c>
      <c r="G7" s="2">
        <v>2</v>
      </c>
      <c r="H7" s="2">
        <v>3</v>
      </c>
      <c r="I7" s="2">
        <v>4</v>
      </c>
      <c r="J7" s="67">
        <v>5</v>
      </c>
    </row>
    <row r="8" spans="2:10" ht="15.75">
      <c r="B8" s="62"/>
      <c r="C8" s="11"/>
      <c r="D8" s="11"/>
      <c r="E8" s="11"/>
      <c r="F8" s="11"/>
      <c r="G8" s="11"/>
      <c r="H8" s="11"/>
      <c r="I8" s="11"/>
      <c r="J8" s="61"/>
    </row>
    <row r="9" spans="2:10" ht="15.75">
      <c r="B9" s="62">
        <v>1</v>
      </c>
      <c r="C9" s="11"/>
      <c r="D9" s="11"/>
      <c r="E9" s="11"/>
      <c r="F9" s="11">
        <v>2334221</v>
      </c>
      <c r="G9" s="11">
        <v>2735208</v>
      </c>
      <c r="H9" s="11">
        <v>3011233</v>
      </c>
      <c r="I9" s="11">
        <v>3071418</v>
      </c>
      <c r="J9" s="61">
        <v>3010866</v>
      </c>
    </row>
    <row r="10" spans="2:10" ht="15.75">
      <c r="B10" s="62">
        <v>2</v>
      </c>
      <c r="C10" s="11"/>
      <c r="D10" s="11"/>
      <c r="E10" s="11"/>
      <c r="F10" s="11">
        <v>1696125</v>
      </c>
      <c r="G10" s="11">
        <v>2710737</v>
      </c>
      <c r="H10" s="11">
        <v>2960080</v>
      </c>
      <c r="I10" s="11">
        <v>2940123</v>
      </c>
      <c r="J10" s="61">
        <v>2134333</v>
      </c>
    </row>
    <row r="11" spans="2:10" ht="15.75">
      <c r="B11" s="62">
        <v>3</v>
      </c>
      <c r="C11" s="11"/>
      <c r="D11" s="11"/>
      <c r="E11" s="11"/>
      <c r="F11" s="11">
        <v>1639393</v>
      </c>
      <c r="G11" s="11">
        <v>2675574</v>
      </c>
      <c r="H11" s="11">
        <v>2829568</v>
      </c>
      <c r="I11" s="11">
        <v>2073865</v>
      </c>
      <c r="J11" s="61">
        <v>1679883</v>
      </c>
    </row>
    <row r="12" spans="2:10" ht="15.75">
      <c r="B12" s="62">
        <v>4</v>
      </c>
      <c r="C12" s="11"/>
      <c r="D12" s="11"/>
      <c r="E12" s="11"/>
      <c r="F12" s="63">
        <v>1616180</v>
      </c>
      <c r="G12" s="11">
        <v>2586436</v>
      </c>
      <c r="H12" s="11">
        <v>2006933</v>
      </c>
      <c r="I12" s="11">
        <v>1655423</v>
      </c>
      <c r="J12" s="61">
        <v>1460848</v>
      </c>
    </row>
    <row r="13" spans="2:10" ht="15.75">
      <c r="B13" s="62">
        <v>5</v>
      </c>
      <c r="C13" s="11"/>
      <c r="D13" s="11"/>
      <c r="E13" s="11"/>
      <c r="F13" s="11">
        <v>1528059</v>
      </c>
      <c r="G13" s="11">
        <v>1785436</v>
      </c>
      <c r="H13" s="11">
        <v>1627610</v>
      </c>
      <c r="I13" s="11">
        <v>1459475</v>
      </c>
      <c r="J13" s="61">
        <v>225865</v>
      </c>
    </row>
    <row r="14" spans="2:10" ht="15.75">
      <c r="B14" s="62">
        <v>6</v>
      </c>
      <c r="C14" s="11"/>
      <c r="D14" s="11"/>
      <c r="E14" s="11"/>
      <c r="F14" s="11">
        <v>4584977</v>
      </c>
      <c r="G14" s="11">
        <v>3148357</v>
      </c>
      <c r="H14" s="11">
        <v>1678993</v>
      </c>
      <c r="I14" s="11">
        <v>225865</v>
      </c>
      <c r="J14" s="61">
        <v>0</v>
      </c>
    </row>
    <row r="15" spans="2:10" ht="15.75">
      <c r="B15" s="62"/>
      <c r="C15" s="11"/>
      <c r="D15" s="11"/>
      <c r="E15" s="11"/>
      <c r="F15" s="11"/>
      <c r="G15" s="11"/>
      <c r="H15" s="11"/>
      <c r="I15" s="11"/>
      <c r="J15" s="61"/>
    </row>
    <row r="16" spans="2:10" ht="15.75">
      <c r="B16" s="62"/>
      <c r="C16" s="11"/>
      <c r="D16" s="11"/>
      <c r="E16" s="11"/>
      <c r="F16" s="11">
        <v>3257.214</v>
      </c>
      <c r="G16" s="11">
        <v>3223.96</v>
      </c>
      <c r="H16" s="11">
        <v>3411.793</v>
      </c>
      <c r="I16" s="11">
        <v>3471.426</v>
      </c>
      <c r="J16" s="61">
        <v>3218.019</v>
      </c>
    </row>
    <row r="17" spans="2:10" ht="15.75">
      <c r="B17" s="62"/>
      <c r="C17" s="11"/>
      <c r="D17" s="11"/>
      <c r="E17" s="11"/>
      <c r="F17" s="11"/>
      <c r="G17" s="11"/>
      <c r="H17" s="11"/>
      <c r="I17" s="11"/>
      <c r="J17" s="61"/>
    </row>
    <row r="18" spans="2:10" ht="15.75">
      <c r="B18" s="64" t="s">
        <v>98</v>
      </c>
      <c r="C18" s="65"/>
      <c r="D18" s="65"/>
      <c r="E18" s="65"/>
      <c r="F18" s="11">
        <f>NPV(kd,F9:F14)/1000</f>
        <v>10558.167350882988</v>
      </c>
      <c r="G18" s="11">
        <f>NPV(kd,G9:G14)/1000</f>
        <v>12644.516785101425</v>
      </c>
      <c r="H18" s="11">
        <f>NPV(kd,H9:H14)/1000</f>
        <v>11678.354034261589</v>
      </c>
      <c r="I18" s="11">
        <f>NPV(kd,I9:I14)/1000</f>
        <v>9699.828903310692</v>
      </c>
      <c r="J18" s="61">
        <f>NPV(kd,J9:J14)/1000</f>
        <v>7399.953761038409</v>
      </c>
    </row>
    <row r="19" spans="2:10" ht="15.75">
      <c r="B19" s="66"/>
      <c r="C19" s="2"/>
      <c r="D19" s="2"/>
      <c r="E19" s="2"/>
      <c r="F19" s="2"/>
      <c r="G19" s="2"/>
      <c r="H19" s="2"/>
      <c r="I19" s="2"/>
      <c r="J19" s="67"/>
    </row>
    <row r="21" spans="2:10" ht="19.5" customHeight="1">
      <c r="B21" s="57" t="s">
        <v>103</v>
      </c>
      <c r="C21" s="58"/>
      <c r="D21" s="58"/>
      <c r="E21" s="58"/>
      <c r="F21" s="58"/>
      <c r="G21" s="58"/>
      <c r="H21" s="58"/>
      <c r="I21" s="58"/>
      <c r="J21" s="59"/>
    </row>
    <row r="22" spans="2:10" ht="15.75">
      <c r="B22" s="68" t="s">
        <v>120</v>
      </c>
      <c r="C22" s="2"/>
      <c r="D22" s="2"/>
      <c r="E22" s="2"/>
      <c r="F22" s="2">
        <v>1</v>
      </c>
      <c r="G22" s="2">
        <v>2</v>
      </c>
      <c r="H22" s="2">
        <v>3</v>
      </c>
      <c r="I22" s="2">
        <v>4</v>
      </c>
      <c r="J22" s="67">
        <v>5</v>
      </c>
    </row>
    <row r="23" spans="2:10" ht="15.75">
      <c r="B23" s="60"/>
      <c r="C23" s="11"/>
      <c r="D23" s="11"/>
      <c r="E23" s="11"/>
      <c r="F23" s="11"/>
      <c r="G23" s="11"/>
      <c r="H23" s="11"/>
      <c r="I23" s="11"/>
      <c r="J23" s="61"/>
    </row>
    <row r="24" spans="2:10" ht="15.75">
      <c r="B24" s="69" t="s">
        <v>33</v>
      </c>
      <c r="C24" s="63"/>
      <c r="D24" s="63"/>
      <c r="E24" s="63">
        <v>5644.413</v>
      </c>
      <c r="F24" s="11">
        <v>6323.396</v>
      </c>
      <c r="G24" s="11">
        <v>6314.32</v>
      </c>
      <c r="H24" s="11">
        <v>6652.43</v>
      </c>
      <c r="I24" s="11"/>
      <c r="J24" s="61"/>
    </row>
    <row r="25" spans="2:10" ht="15.75">
      <c r="B25" s="60"/>
      <c r="C25" s="11"/>
      <c r="D25" s="11"/>
      <c r="E25" s="11"/>
      <c r="F25" s="11"/>
      <c r="G25" s="11"/>
      <c r="H25" s="11"/>
      <c r="I25" s="11"/>
      <c r="J25" s="61"/>
    </row>
    <row r="26" spans="2:10" ht="15.75">
      <c r="B26" s="69" t="s">
        <v>32</v>
      </c>
      <c r="C26" s="63"/>
      <c r="D26" s="63"/>
      <c r="E26" s="63">
        <f>E24</f>
        <v>5644.413</v>
      </c>
      <c r="F26" s="11">
        <f>F24</f>
        <v>6323.396</v>
      </c>
      <c r="G26" s="11">
        <f>G24</f>
        <v>6314.32</v>
      </c>
      <c r="H26" s="11">
        <f>H24</f>
        <v>6652.43</v>
      </c>
      <c r="I26" s="11">
        <v>7698.778</v>
      </c>
      <c r="J26" s="61">
        <v>7978.723</v>
      </c>
    </row>
    <row r="27" spans="2:10" ht="15.75">
      <c r="B27" s="60"/>
      <c r="C27" s="11"/>
      <c r="D27" s="11"/>
      <c r="E27" s="11"/>
      <c r="F27" s="11"/>
      <c r="G27" s="11"/>
      <c r="H27" s="11"/>
      <c r="I27" s="11"/>
      <c r="J27" s="61"/>
    </row>
    <row r="28" spans="2:10" ht="15.75">
      <c r="B28" s="69" t="s">
        <v>31</v>
      </c>
      <c r="C28" s="63"/>
      <c r="D28" s="63"/>
      <c r="E28" s="63">
        <f>E26+730.672</f>
        <v>6375.084999999999</v>
      </c>
      <c r="F28" s="11">
        <f>F24+162.243</f>
        <v>6485.639</v>
      </c>
      <c r="G28" s="11">
        <f>G24+442.368</f>
        <v>6756.688</v>
      </c>
      <c r="H28" s="11">
        <f>H24+778.406</f>
        <v>7430.836</v>
      </c>
      <c r="I28" s="11">
        <v>6657.778</v>
      </c>
      <c r="J28" s="61">
        <v>7313.723</v>
      </c>
    </row>
    <row r="29" spans="2:10" ht="15.75">
      <c r="B29" s="60"/>
      <c r="C29" s="11"/>
      <c r="D29" s="11"/>
      <c r="E29" s="11"/>
      <c r="F29" s="11"/>
      <c r="G29" s="11"/>
      <c r="H29" s="11"/>
      <c r="I29" s="11"/>
      <c r="J29" s="61"/>
    </row>
    <row r="30" spans="2:10" ht="15.75">
      <c r="B30" s="69" t="s">
        <v>102</v>
      </c>
      <c r="C30" s="63"/>
      <c r="D30" s="63"/>
      <c r="E30" s="11">
        <f aca="true" t="shared" si="0" ref="E30:J30">E26-E28</f>
        <v>-730.6719999999996</v>
      </c>
      <c r="F30" s="11">
        <f t="shared" si="0"/>
        <v>-162.2430000000004</v>
      </c>
      <c r="G30" s="11">
        <f t="shared" si="0"/>
        <v>-442.3680000000004</v>
      </c>
      <c r="H30" s="11">
        <f t="shared" si="0"/>
        <v>-778.406</v>
      </c>
      <c r="I30" s="11">
        <f t="shared" si="0"/>
        <v>1041</v>
      </c>
      <c r="J30" s="61">
        <f t="shared" si="0"/>
        <v>665</v>
      </c>
    </row>
    <row r="31" spans="2:10" ht="15.75">
      <c r="B31" s="66"/>
      <c r="C31" s="2"/>
      <c r="D31" s="2"/>
      <c r="E31" s="2"/>
      <c r="F31" s="2"/>
      <c r="G31" s="2"/>
      <c r="H31" s="2"/>
      <c r="I31" s="2"/>
      <c r="J31" s="67"/>
    </row>
    <row r="34" spans="2:10" ht="19.5" customHeight="1">
      <c r="B34" s="57" t="s">
        <v>46</v>
      </c>
      <c r="C34" s="58"/>
      <c r="D34" s="58"/>
      <c r="E34" s="58"/>
      <c r="F34" s="58"/>
      <c r="G34" s="58"/>
      <c r="H34" s="58"/>
      <c r="I34" s="58"/>
      <c r="J34" s="59"/>
    </row>
    <row r="35" spans="2:10" ht="15.75">
      <c r="B35" s="68" t="s">
        <v>120</v>
      </c>
      <c r="C35" s="2"/>
      <c r="D35" s="2"/>
      <c r="E35" s="2"/>
      <c r="F35" s="2">
        <v>1</v>
      </c>
      <c r="G35" s="2">
        <v>2</v>
      </c>
      <c r="H35" s="2">
        <v>3</v>
      </c>
      <c r="I35" s="2">
        <v>4</v>
      </c>
      <c r="J35" s="67">
        <v>5</v>
      </c>
    </row>
    <row r="36" spans="2:10" ht="15.75">
      <c r="B36" s="60"/>
      <c r="C36" s="11"/>
      <c r="D36" s="11"/>
      <c r="E36" s="11"/>
      <c r="F36" s="11"/>
      <c r="G36" s="11"/>
      <c r="H36" s="11"/>
      <c r="I36" s="11"/>
      <c r="J36" s="61"/>
    </row>
    <row r="37" spans="2:10" ht="15.75">
      <c r="B37" s="69" t="s">
        <v>41</v>
      </c>
      <c r="C37" s="63">
        <v>2780.5</v>
      </c>
      <c r="D37" s="63">
        <v>3451</v>
      </c>
      <c r="E37" s="11">
        <v>3618</v>
      </c>
      <c r="F37" s="11">
        <v>3309</v>
      </c>
      <c r="G37" s="11">
        <v>3330</v>
      </c>
      <c r="H37" s="11">
        <v>3346</v>
      </c>
      <c r="I37" s="11">
        <v>3218.019</v>
      </c>
      <c r="J37" s="61">
        <v>3833</v>
      </c>
    </row>
    <row r="38" spans="2:10" ht="15.75">
      <c r="B38" s="69"/>
      <c r="C38" s="63"/>
      <c r="D38" s="63"/>
      <c r="E38" s="11"/>
      <c r="F38" s="11"/>
      <c r="G38" s="11"/>
      <c r="H38" s="11"/>
      <c r="I38" s="11"/>
      <c r="J38" s="61"/>
    </row>
    <row r="39" spans="2:10" ht="15.75">
      <c r="B39" s="69" t="s">
        <v>42</v>
      </c>
      <c r="C39" s="63">
        <f aca="true" t="shared" si="1" ref="C39:J39">-C37/3</f>
        <v>-926.8333333333334</v>
      </c>
      <c r="D39" s="63">
        <f t="shared" si="1"/>
        <v>-1150.3333333333333</v>
      </c>
      <c r="E39" s="63">
        <f t="shared" si="1"/>
        <v>-1206</v>
      </c>
      <c r="F39" s="63">
        <f t="shared" si="1"/>
        <v>-1103</v>
      </c>
      <c r="G39" s="63">
        <f t="shared" si="1"/>
        <v>-1110</v>
      </c>
      <c r="H39" s="63">
        <f t="shared" si="1"/>
        <v>-1115.3333333333333</v>
      </c>
      <c r="I39" s="63">
        <f t="shared" si="1"/>
        <v>-1072.673</v>
      </c>
      <c r="J39" s="70">
        <f t="shared" si="1"/>
        <v>-1277.6666666666667</v>
      </c>
    </row>
    <row r="40" spans="2:10" ht="15.75">
      <c r="B40" s="69" t="s">
        <v>43</v>
      </c>
      <c r="C40" s="11"/>
      <c r="D40" s="11">
        <f aca="true" t="shared" si="2" ref="D40:G41">C39</f>
        <v>-926.8333333333334</v>
      </c>
      <c r="E40" s="11">
        <f t="shared" si="2"/>
        <v>-1150.3333333333333</v>
      </c>
      <c r="F40" s="11">
        <f t="shared" si="2"/>
        <v>-1206</v>
      </c>
      <c r="G40" s="11">
        <f t="shared" si="2"/>
        <v>-1103</v>
      </c>
      <c r="H40" s="11">
        <f aca="true" t="shared" si="3" ref="H40:J41">G39</f>
        <v>-1110</v>
      </c>
      <c r="I40" s="11">
        <f t="shared" si="3"/>
        <v>-1115.3333333333333</v>
      </c>
      <c r="J40" s="61">
        <f t="shared" si="3"/>
        <v>-1072.673</v>
      </c>
    </row>
    <row r="41" spans="2:10" ht="18">
      <c r="B41" s="69" t="s">
        <v>44</v>
      </c>
      <c r="C41" s="71">
        <v>0</v>
      </c>
      <c r="D41" s="71">
        <f t="shared" si="2"/>
        <v>0</v>
      </c>
      <c r="E41" s="71">
        <f t="shared" si="2"/>
        <v>-926.8333333333334</v>
      </c>
      <c r="F41" s="71">
        <f t="shared" si="2"/>
        <v>-1150.3333333333333</v>
      </c>
      <c r="G41" s="71">
        <f t="shared" si="2"/>
        <v>-1206</v>
      </c>
      <c r="H41" s="71">
        <f>G40</f>
        <v>-1103</v>
      </c>
      <c r="I41" s="71">
        <f t="shared" si="3"/>
        <v>-1110</v>
      </c>
      <c r="J41" s="72">
        <f t="shared" si="3"/>
        <v>-1115.3333333333333</v>
      </c>
    </row>
    <row r="42" spans="2:10" ht="15.75">
      <c r="B42" s="69" t="s">
        <v>118</v>
      </c>
      <c r="C42" s="63"/>
      <c r="D42" s="63"/>
      <c r="E42" s="11">
        <f>D42+E37-SUM(E39:E41)</f>
        <v>6901.166666666666</v>
      </c>
      <c r="F42" s="11">
        <f>E42+SUM(F37,F39:F41)</f>
        <v>6750.833333333333</v>
      </c>
      <c r="G42" s="11">
        <f>F42+SUM(G37,G39:G41)</f>
        <v>6661.833333333333</v>
      </c>
      <c r="H42" s="11">
        <f>G42+SUM(H37,H39:H41)</f>
        <v>6679.5</v>
      </c>
      <c r="I42" s="11">
        <f>H42+SUM(I37,I39:I41)</f>
        <v>6599.5126666666665</v>
      </c>
      <c r="J42" s="61">
        <f>I42+SUM(J37,J39:J41)</f>
        <v>6966.839666666667</v>
      </c>
    </row>
    <row r="43" spans="2:10" ht="15.75">
      <c r="B43" s="60"/>
      <c r="C43" s="11"/>
      <c r="D43" s="11"/>
      <c r="E43" s="11"/>
      <c r="F43" s="11"/>
      <c r="G43" s="11"/>
      <c r="H43" s="11"/>
      <c r="I43" s="11"/>
      <c r="J43" s="61"/>
    </row>
    <row r="44" spans="2:10" ht="15.75">
      <c r="B44" s="60"/>
      <c r="C44" s="11"/>
      <c r="D44" s="11"/>
      <c r="E44" s="11">
        <f>SUM(E37,E39:E41)</f>
        <v>334.83333333333337</v>
      </c>
      <c r="F44" s="11">
        <f>SUM(F37,F39:F41)</f>
        <v>-150.33333333333326</v>
      </c>
      <c r="G44" s="11">
        <f>SUM(G39:G41)</f>
        <v>-3419</v>
      </c>
      <c r="H44" s="11">
        <f>SUM(H39:H41)</f>
        <v>-3328.333333333333</v>
      </c>
      <c r="I44" s="11">
        <f>SUM(I39:I41)</f>
        <v>-3298.0063333333333</v>
      </c>
      <c r="J44" s="61">
        <f>SUM(J39:J41)</f>
        <v>-3465.673</v>
      </c>
    </row>
    <row r="45" spans="2:10" ht="15.75">
      <c r="B45" s="60"/>
      <c r="C45" s="11"/>
      <c r="D45" s="11"/>
      <c r="E45" s="11"/>
      <c r="F45" s="11"/>
      <c r="G45" s="11"/>
      <c r="H45" s="11"/>
      <c r="I45" s="11"/>
      <c r="J45" s="61"/>
    </row>
    <row r="46" spans="2:10" ht="15.75">
      <c r="B46" s="60"/>
      <c r="C46" s="11"/>
      <c r="D46" s="11"/>
      <c r="E46" s="11">
        <f aca="true" t="shared" si="4" ref="E46:J46">SUM(E39:E41)</f>
        <v>-3283.1666666666665</v>
      </c>
      <c r="F46" s="11">
        <f t="shared" si="4"/>
        <v>-3459.333333333333</v>
      </c>
      <c r="G46" s="11">
        <f t="shared" si="4"/>
        <v>-3419</v>
      </c>
      <c r="H46" s="11">
        <f t="shared" si="4"/>
        <v>-3328.333333333333</v>
      </c>
      <c r="I46" s="11">
        <f t="shared" si="4"/>
        <v>-3298.0063333333333</v>
      </c>
      <c r="J46" s="61">
        <f t="shared" si="4"/>
        <v>-3465.673</v>
      </c>
    </row>
    <row r="47" spans="2:10" ht="15.75">
      <c r="B47" s="60"/>
      <c r="C47" s="11"/>
      <c r="D47" s="11"/>
      <c r="E47" s="11"/>
      <c r="F47" s="11"/>
      <c r="G47" s="11"/>
      <c r="H47" s="11"/>
      <c r="I47" s="11"/>
      <c r="J47" s="61"/>
    </row>
    <row r="48" spans="2:10" ht="15.75">
      <c r="B48" s="69" t="s">
        <v>45</v>
      </c>
      <c r="C48" s="11"/>
      <c r="D48" s="11"/>
      <c r="E48" s="11">
        <f aca="true" t="shared" si="5" ref="E48:J48">(E37+E46)</f>
        <v>334.8333333333335</v>
      </c>
      <c r="F48" s="11">
        <f t="shared" si="5"/>
        <v>-150.33333333333303</v>
      </c>
      <c r="G48" s="11">
        <f t="shared" si="5"/>
        <v>-89</v>
      </c>
      <c r="H48" s="11">
        <f t="shared" si="5"/>
        <v>17.66666666666697</v>
      </c>
      <c r="I48" s="11">
        <f t="shared" si="5"/>
        <v>-79.98733333333348</v>
      </c>
      <c r="J48" s="61">
        <f t="shared" si="5"/>
        <v>367.3270000000002</v>
      </c>
    </row>
    <row r="49" spans="2:10" ht="15.75">
      <c r="B49" s="66"/>
      <c r="C49" s="2"/>
      <c r="D49" s="2"/>
      <c r="E49" s="2"/>
      <c r="F49" s="2"/>
      <c r="G49" s="2"/>
      <c r="H49" s="2"/>
      <c r="I49" s="2"/>
      <c r="J49" s="67"/>
    </row>
    <row r="54" spans="2:10" ht="15.75">
      <c r="B54" s="3" t="s">
        <v>115</v>
      </c>
      <c r="F54" s="1">
        <v>9128.347</v>
      </c>
      <c r="G54" s="1">
        <v>8716.545</v>
      </c>
      <c r="H54" s="1">
        <v>8456.433</v>
      </c>
      <c r="I54" s="1">
        <v>8269.037</v>
      </c>
      <c r="J54" s="1">
        <v>7645.546</v>
      </c>
    </row>
    <row r="55" spans="2:10" ht="15.75">
      <c r="B55" s="3" t="s">
        <v>116</v>
      </c>
      <c r="F55" s="1">
        <v>359.961</v>
      </c>
      <c r="G55" s="1">
        <v>399.189</v>
      </c>
      <c r="H55" s="1">
        <v>452.437</v>
      </c>
      <c r="I55" s="1">
        <v>619.259</v>
      </c>
      <c r="J55" s="1">
        <v>577.63</v>
      </c>
    </row>
    <row r="56" spans="2:10" ht="15.75">
      <c r="B56" s="3" t="s">
        <v>117</v>
      </c>
      <c r="F56" s="1">
        <v>9488.308</v>
      </c>
      <c r="G56" s="1">
        <v>9115.734</v>
      </c>
      <c r="H56" s="1">
        <v>8908.87</v>
      </c>
      <c r="I56" s="1">
        <v>8888.296</v>
      </c>
      <c r="J56" s="1">
        <v>8223.156</v>
      </c>
    </row>
    <row r="57" spans="6:10" ht="15.75">
      <c r="F57" s="1">
        <f>F54+F55</f>
        <v>9488.307999999999</v>
      </c>
      <c r="G57" s="1">
        <f>G54+G55</f>
        <v>9115.734</v>
      </c>
      <c r="H57" s="1">
        <f>H54+H55</f>
        <v>8908.87</v>
      </c>
      <c r="I57" s="1">
        <f>I54+I55</f>
        <v>8888.296</v>
      </c>
      <c r="J57" s="1">
        <f>J54+J55</f>
        <v>8223.176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T. Newsome</dc:creator>
  <cp:keywords/>
  <dc:description/>
  <cp:lastModifiedBy>Matt Evans</cp:lastModifiedBy>
  <cp:lastPrinted>2005-10-21T20:22:38Z</cp:lastPrinted>
  <dcterms:created xsi:type="dcterms:W3CDTF">2005-08-29T20:18:15Z</dcterms:created>
  <dcterms:modified xsi:type="dcterms:W3CDTF">2008-07-20T21:10:08Z</dcterms:modified>
  <cp:category/>
  <cp:version/>
  <cp:contentType/>
  <cp:contentStatus/>
</cp:coreProperties>
</file>