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EXHIBIT" sheetId="1" r:id="rId1"/>
    <sheet name="WORKSHEET" sheetId="2" r:id="rId2"/>
    <sheet name="CFROI" sheetId="3" r:id="rId3"/>
  </sheets>
  <definedNames>
    <definedName name="BIGT">'CFROI'!$B$52:$R$71</definedName>
    <definedName name="Discount_Rate__k">'WORKSHEET'!$E$5</definedName>
    <definedName name="Growth_Rate__g">'WORKSHEET'!$E$6</definedName>
    <definedName name="Initial_Investment">'WORKSHEET'!$E$7</definedName>
    <definedName name="Last_yr._of_Investment">'WORKSHEET'!$E$9</definedName>
    <definedName name="Non_Depreciating">'WORKSHEET'!$E$8</definedName>
    <definedName name="_xlnm.Print_Area" localSheetId="0">'EXHIBIT'!$A$1:$X$72</definedName>
    <definedName name="_xlnm.Print_Area" localSheetId="1">'WORKSHEET'!$A$15:$X$110</definedName>
    <definedName name="_xlnm.Print_Titles" localSheetId="1">'WORKSHEET'!$1:$14</definedName>
    <definedName name="Project_Life__L">'WORKSHEET'!$E$4</definedName>
    <definedName name="TERMVAL">'CFROI'!$B$28:$R$47</definedName>
    <definedName name="VALUATION_AUDIT">'WORKSHEET'!$A$1:$X$14</definedName>
  </definedNames>
  <calcPr calcMode="manual" fullCalcOnLoad="1"/>
</workbook>
</file>

<file path=xl/sharedStrings.xml><?xml version="1.0" encoding="utf-8"?>
<sst xmlns="http://schemas.openxmlformats.org/spreadsheetml/2006/main" count="151" uniqueCount="101">
  <si>
    <t>SIMPLIFIED CFROI VALUATION MODEL AUDIT</t>
  </si>
  <si>
    <t>-----START UP-----</t>
  </si>
  <si>
    <t>BIG "T"</t>
  </si>
  <si>
    <t>---STOP INVESTING---</t>
  </si>
  <si>
    <t>COST OF CAPITAL</t>
  </si>
  <si>
    <t>(A)</t>
  </si>
  <si>
    <t>Growth Rate</t>
  </si>
  <si>
    <t>(B)</t>
  </si>
  <si>
    <t>Project ROI</t>
  </si>
  <si>
    <t>Project Cash Flows</t>
  </si>
  <si>
    <t>(C)</t>
  </si>
  <si>
    <t>Gross Cash Flow</t>
  </si>
  <si>
    <t>(D)</t>
  </si>
  <si>
    <t>Investment NWC</t>
  </si>
  <si>
    <t>(E)</t>
  </si>
  <si>
    <t>Released NWC</t>
  </si>
  <si>
    <t>(F)</t>
  </si>
  <si>
    <t>Net Change NWC (D - E)</t>
  </si>
  <si>
    <t>(G)</t>
  </si>
  <si>
    <t>CAPEX</t>
  </si>
  <si>
    <t>(H)</t>
  </si>
  <si>
    <t>NCR  (C - F - G)</t>
  </si>
  <si>
    <t>(I)</t>
  </si>
  <si>
    <t>Balance Sheet - NWC</t>
  </si>
  <si>
    <t>(J)</t>
  </si>
  <si>
    <t>Balance Sheet - Gross Assets</t>
  </si>
  <si>
    <t>(K)</t>
  </si>
  <si>
    <t>% Non-Depreciating</t>
  </si>
  <si>
    <t>(L)</t>
  </si>
  <si>
    <t>CFROI</t>
  </si>
  <si>
    <t>Gross CF(t) &amp; Gross Assets(t-1)</t>
  </si>
  <si>
    <t>VALUE #1</t>
  </si>
  <si>
    <t>= PV NCR(t+1) to YR 10 [H]</t>
  </si>
  <si>
    <t>EXISTING ASSETS</t>
  </si>
  <si>
    <t>(M)</t>
  </si>
  <si>
    <t>PV This Year of Cash Flow / Wind Down</t>
  </si>
  <si>
    <t>(N)</t>
  </si>
  <si>
    <t>PV Released NWC</t>
  </si>
  <si>
    <t>(O)</t>
  </si>
  <si>
    <t>PV of Total Receipts From Existing Assets (M + N)</t>
  </si>
  <si>
    <t>FUTURE INVESTMENTS</t>
  </si>
  <si>
    <t>(P)</t>
  </si>
  <si>
    <t>Investment (D + G)</t>
  </si>
  <si>
    <t>(Q)</t>
  </si>
  <si>
    <t>PV of Investment</t>
  </si>
  <si>
    <t>(R)</t>
  </si>
  <si>
    <t>Incremental Wealth Created  (P - Q)</t>
  </si>
  <si>
    <t>(S)</t>
  </si>
  <si>
    <t>PV Incremental Wealth Stream</t>
  </si>
  <si>
    <t>VALUE #2</t>
  </si>
  <si>
    <t>= (O + S)</t>
  </si>
  <si>
    <t>(T)</t>
  </si>
  <si>
    <t>Shareholder Return</t>
  </si>
  <si>
    <t>((Value(t) + NCR(t) ) / Value(t-1)) - 1</t>
  </si>
  <si>
    <t>(U)</t>
  </si>
  <si>
    <t>% Future</t>
  </si>
  <si>
    <t>( S / Value(t) )</t>
  </si>
  <si>
    <t>Project Life</t>
  </si>
  <si>
    <t>Discount Rate</t>
  </si>
  <si>
    <t>Initial Investment</t>
  </si>
  <si>
    <t>Last yr. of Investment</t>
  </si>
  <si>
    <t>Big "T", ROI = Discount Rate</t>
  </si>
  <si>
    <t>End Year</t>
  </si>
  <si>
    <t>Balance Sheet - Gross Investment</t>
  </si>
  <si>
    <t>Gross CF(t) &amp; Gross Inv(t-1)</t>
  </si>
  <si>
    <t>= PV NCR(t+1) to End   [H]</t>
  </si>
  <si>
    <t>EXISTING ASSETS:</t>
  </si>
  <si>
    <t>Future Cash Flows From Existing Assets</t>
  </si>
  <si>
    <t>Year T+1</t>
  </si>
  <si>
    <t>Year T+2</t>
  </si>
  <si>
    <t>Year T+3</t>
  </si>
  <si>
    <t>Year T+4</t>
  </si>
  <si>
    <t>/ (1+.1)^1</t>
  </si>
  <si>
    <t>/ (1+.1)^2</t>
  </si>
  <si>
    <t>/ (1+.1)^3</t>
  </si>
  <si>
    <t>/ (1+.1)^4</t>
  </si>
  <si>
    <t>PV This Year of Cash Flows</t>
  </si>
  <si>
    <t>PV NCR(t+1) to Big "T"  [H]</t>
  </si>
  <si>
    <t>PV This Year Existing Asset at Big "T"  [O]</t>
  </si>
  <si>
    <t>= (P + Q)</t>
  </si>
  <si>
    <t>Annual Gross Cash Flow from Investment</t>
  </si>
  <si>
    <t>Residual Value from Investment</t>
  </si>
  <si>
    <t>PV of Investment GCF &amp; Residual Value</t>
  </si>
  <si>
    <t>Residual Value / (1.1)^4</t>
  </si>
  <si>
    <t>Incremental Wealth Created  (S - R)</t>
  </si>
  <si>
    <t xml:space="preserve">PV Incremental Wealth </t>
  </si>
  <si>
    <t>VALUE #3</t>
  </si>
  <si>
    <t>= (O + U)</t>
  </si>
  <si>
    <t>(V)</t>
  </si>
  <si>
    <t>Shareholder Return ((Value(t) + NCR(t) ) / Value(t-1)) - 1</t>
  </si>
  <si>
    <t>(W)</t>
  </si>
  <si>
    <t>( U / Value(t) )</t>
  </si>
  <si>
    <t>Gross</t>
  </si>
  <si>
    <t>Gross Cash Flows</t>
  </si>
  <si>
    <t>Non-Depr.</t>
  </si>
  <si>
    <t>Investment</t>
  </si>
  <si>
    <t>Asset</t>
  </si>
  <si>
    <t>PV NCR(t+1) to Big "T"  [H] - CALCULATION P</t>
  </si>
  <si>
    <t>Big T</t>
  </si>
  <si>
    <t>Year</t>
  </si>
  <si>
    <t>PV This Year Existing Asset at Big "T"   - CALCULATION O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</si>
</sst>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0.0"/>
    <numFmt numFmtId="167" formatCode="0.000"/>
    <numFmt numFmtId="168" formatCode="0.00000"/>
    <numFmt numFmtId="169" formatCode="0.000000"/>
    <numFmt numFmtId="170" formatCode="0.0000000"/>
    <numFmt numFmtId="171" formatCode="#,##0.0_);[Red]\(#,##0.0\)"/>
    <numFmt numFmtId="172" formatCode="#,##0.000_);[Red]\(#,##0.000\)"/>
    <numFmt numFmtId="173" formatCode="0.000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#,##0.000_);\(#,##0.000\)"/>
    <numFmt numFmtId="179" formatCode="#,##0.0000_);\(#,##0.0000\)"/>
    <numFmt numFmtId="180" formatCode="#,##0.00000_);\(#,##0.00000\)"/>
    <numFmt numFmtId="181" formatCode="#,##0.000000_);\(#,##0.000000\)"/>
    <numFmt numFmtId="182" formatCode="#,##0.0000000_);\(#,##0.0000000\)"/>
    <numFmt numFmtId="183" formatCode="#,##0.00000000_);\(#,##0.00000000\)"/>
    <numFmt numFmtId="184" formatCode="#,##0.000000000_);\(#,##0.000000000\)"/>
    <numFmt numFmtId="185" formatCode="#,##0.0000000000_);\(#,##0.0000000000\)"/>
    <numFmt numFmtId="186" formatCode="#,##0.00000000000_);\(#,##0.00000000000\)"/>
    <numFmt numFmtId="187" formatCode="#,##0.000000000000_);\(#,##0.000000000000\)"/>
    <numFmt numFmtId="188" formatCode="#,##0.0000000000000_);\(#,##0.0000000000000\)"/>
    <numFmt numFmtId="189" formatCode="#,##0.00000000000000_);\(#,##0.00000000000000\)"/>
    <numFmt numFmtId="190" formatCode="#,##0.000000000000000_);\(#,##0.000000000000000\)"/>
    <numFmt numFmtId="191" formatCode="#,##0.0000000000000000_);\(#,##0.0000000000000000\)"/>
    <numFmt numFmtId="192" formatCode="#,##0.00000000000000000_);\(#,##0.00000000000000000\)"/>
    <numFmt numFmtId="193" formatCode="#,##0.000000000000000000_);\(#,##0.0000000000000000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2" xfId="0" applyFont="1" applyBorder="1" applyAlignment="1" quotePrefix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7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7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 quotePrefix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2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7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38" fontId="8" fillId="0" borderId="3" xfId="0" applyNumberFormat="1" applyFont="1" applyBorder="1" applyAlignment="1">
      <alignment/>
    </xf>
    <xf numFmtId="37" fontId="0" fillId="0" borderId="0" xfId="0" applyNumberFormat="1" applyAlignment="1" quotePrefix="1">
      <alignment/>
    </xf>
    <xf numFmtId="164" fontId="0" fillId="0" borderId="0" xfId="0" applyNumberFormat="1" applyAlignment="1">
      <alignment horizontal="right"/>
    </xf>
    <xf numFmtId="38" fontId="0" fillId="0" borderId="3" xfId="0" applyNumberFormat="1" applyFont="1" applyBorder="1" applyAlignment="1">
      <alignment horizontal="right"/>
    </xf>
    <xf numFmtId="38" fontId="8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164" fontId="0" fillId="0" borderId="0" xfId="19" applyNumberFormat="1" applyBorder="1" applyAlignment="1">
      <alignment/>
    </xf>
    <xf numFmtId="176" fontId="0" fillId="0" borderId="0" xfId="15" applyNumberFormat="1" applyBorder="1" applyAlignment="1">
      <alignment/>
    </xf>
    <xf numFmtId="176" fontId="0" fillId="0" borderId="0" xfId="15" applyNumberFormat="1" applyAlignment="1">
      <alignment/>
    </xf>
    <xf numFmtId="0" fontId="1" fillId="0" borderId="2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19" applyNumberFormat="1" applyBorder="1" applyAlignment="1">
      <alignment/>
    </xf>
    <xf numFmtId="176" fontId="0" fillId="0" borderId="2" xfId="15" applyNumberFormat="1" applyBorder="1" applyAlignment="1">
      <alignment/>
    </xf>
    <xf numFmtId="37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0" xfId="0" applyAlignment="1">
      <alignment/>
    </xf>
    <xf numFmtId="164" fontId="0" fillId="0" borderId="3" xfId="19" applyNumberFormat="1" applyBorder="1" applyAlignment="1">
      <alignment/>
    </xf>
    <xf numFmtId="176" fontId="0" fillId="0" borderId="3" xfId="15" applyNumberFormat="1" applyBorder="1" applyAlignment="1">
      <alignment/>
    </xf>
    <xf numFmtId="164" fontId="0" fillId="0" borderId="3" xfId="0" applyNumberFormat="1" applyBorder="1" applyAlignment="1">
      <alignment horizontal="right"/>
    </xf>
    <xf numFmtId="37" fontId="1" fillId="0" borderId="0" xfId="0" applyNumberFormat="1" applyFont="1" applyAlignment="1">
      <alignment horizontal="center"/>
    </xf>
    <xf numFmtId="39" fontId="0" fillId="0" borderId="0" xfId="0" applyNumberFormat="1" applyBorder="1" applyAlignment="1">
      <alignment/>
    </xf>
    <xf numFmtId="39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Alignment="1">
      <alignment/>
    </xf>
    <xf numFmtId="39" fontId="0" fillId="0" borderId="0" xfId="0" applyNumberFormat="1" applyAlignment="1">
      <alignment horizontal="centerContinuous"/>
    </xf>
    <xf numFmtId="39" fontId="6" fillId="0" borderId="0" xfId="0" applyNumberFormat="1" applyFont="1" applyAlignment="1">
      <alignment horizontal="centerContinuous"/>
    </xf>
    <xf numFmtId="37" fontId="1" fillId="0" borderId="8" xfId="0" applyNumberFormat="1" applyFont="1" applyBorder="1" applyAlignment="1">
      <alignment horizontal="center"/>
    </xf>
    <xf numFmtId="37" fontId="1" fillId="0" borderId="9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8" fontId="0" fillId="0" borderId="2" xfId="15" applyNumberFormat="1" applyBorder="1" applyAlignment="1">
      <alignment/>
    </xf>
    <xf numFmtId="38" fontId="0" fillId="0" borderId="3" xfId="15" applyNumberFormat="1" applyBorder="1" applyAlignment="1">
      <alignment/>
    </xf>
    <xf numFmtId="0" fontId="1" fillId="0" borderId="0" xfId="0" applyFont="1" applyAlignment="1">
      <alignment/>
    </xf>
    <xf numFmtId="38" fontId="1" fillId="0" borderId="8" xfId="0" applyNumberFormat="1" applyFont="1" applyBorder="1" applyAlignment="1">
      <alignment horizontal="center"/>
    </xf>
    <xf numFmtId="38" fontId="1" fillId="0" borderId="9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/>
    </xf>
    <xf numFmtId="38" fontId="0" fillId="0" borderId="0" xfId="15" applyNumberFormat="1" applyBorder="1" applyAlignment="1">
      <alignment/>
    </xf>
    <xf numFmtId="38" fontId="0" fillId="0" borderId="6" xfId="15" applyNumberFormat="1" applyBorder="1" applyAlignment="1">
      <alignment/>
    </xf>
    <xf numFmtId="38" fontId="0" fillId="0" borderId="5" xfId="15" applyNumberFormat="1" applyBorder="1" applyAlignment="1">
      <alignment/>
    </xf>
    <xf numFmtId="38" fontId="0" fillId="0" borderId="7" xfId="15" applyNumberFormat="1" applyBorder="1" applyAlignment="1">
      <alignment/>
    </xf>
    <xf numFmtId="37" fontId="0" fillId="0" borderId="3" xfId="0" applyNumberFormat="1" applyBorder="1" applyAlignment="1" quotePrefix="1">
      <alignment/>
    </xf>
    <xf numFmtId="38" fontId="0" fillId="0" borderId="4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0" xfId="0" applyNumberFormat="1" applyBorder="1" applyAlignment="1">
      <alignment/>
    </xf>
    <xf numFmtId="9" fontId="1" fillId="0" borderId="5" xfId="19" applyFont="1" applyBorder="1" applyAlignment="1">
      <alignment/>
    </xf>
    <xf numFmtId="0" fontId="1" fillId="0" borderId="5" xfId="0" applyFont="1" applyBorder="1" applyAlignment="1">
      <alignment/>
    </xf>
    <xf numFmtId="164" fontId="0" fillId="0" borderId="0" xfId="0" applyNumberFormat="1" applyBorder="1" applyAlignment="1">
      <alignment horizontal="right"/>
    </xf>
    <xf numFmtId="0" fontId="1" fillId="0" borderId="0" xfId="0" applyFont="1" applyBorder="1" applyAlignment="1" quotePrefix="1">
      <alignment horizontal="centerContinuous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0" xfId="0" applyFont="1" applyBorder="1" applyAlignment="1" quotePrefix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right"/>
    </xf>
    <xf numFmtId="38" fontId="0" fillId="0" borderId="3" xfId="15" applyNumberFormat="1" applyBorder="1" applyAlignment="1">
      <alignment/>
    </xf>
    <xf numFmtId="0" fontId="0" fillId="0" borderId="0" xfId="0" applyBorder="1" applyAlignment="1">
      <alignment horizontal="right"/>
    </xf>
    <xf numFmtId="38" fontId="0" fillId="0" borderId="0" xfId="15" applyNumberFormat="1" applyBorder="1" applyAlignment="1">
      <alignment/>
    </xf>
    <xf numFmtId="0" fontId="0" fillId="0" borderId="0" xfId="0" applyBorder="1" applyAlignment="1">
      <alignment horizontal="centerContinuous"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2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15" applyNumberFormat="1" applyAlignment="1">
      <alignment/>
    </xf>
    <xf numFmtId="171" fontId="0" fillId="0" borderId="1" xfId="0" applyNumberFormat="1" applyBorder="1" applyAlignment="1">
      <alignment/>
    </xf>
    <xf numFmtId="171" fontId="0" fillId="0" borderId="11" xfId="0" applyNumberFormat="1" applyBorder="1" applyAlignment="1">
      <alignment/>
    </xf>
    <xf numFmtId="171" fontId="8" fillId="0" borderId="0" xfId="0" applyNumberFormat="1" applyFont="1" applyBorder="1" applyAlignment="1">
      <alignment/>
    </xf>
    <xf numFmtId="171" fontId="8" fillId="0" borderId="2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64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4.28125" style="0" customWidth="1"/>
    <col min="3" max="3" width="7.00390625" style="0" customWidth="1"/>
    <col min="4" max="4" width="24.00390625" style="0" customWidth="1"/>
    <col min="5" max="5" width="7.57421875" style="0" customWidth="1"/>
    <col min="6" max="6" width="3.7109375" style="0" customWidth="1"/>
    <col min="7" max="7" width="6.7109375" style="0" customWidth="1"/>
    <col min="8" max="8" width="3.7109375" style="0" customWidth="1"/>
    <col min="10" max="10" width="3.7109375" style="0" customWidth="1"/>
    <col min="12" max="12" width="3.7109375" style="0" customWidth="1"/>
    <col min="14" max="14" width="3.7109375" style="0" customWidth="1"/>
    <col min="16" max="16" width="3.7109375" style="0" customWidth="1"/>
    <col min="18" max="18" width="3.7109375" style="0" customWidth="1"/>
    <col min="20" max="20" width="3.7109375" style="0" customWidth="1"/>
    <col min="21" max="21" width="7.57421875" style="0" customWidth="1"/>
    <col min="22" max="22" width="3.7109375" style="0" customWidth="1"/>
    <col min="23" max="23" width="6.7109375" style="0" customWidth="1"/>
    <col min="24" max="24" width="3.7109375" style="0" customWidth="1"/>
    <col min="25" max="25" width="8.7109375" style="0" customWidth="1"/>
  </cols>
  <sheetData>
    <row r="1" spans="1:26" ht="23.25">
      <c r="A1" s="1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60"/>
    </row>
    <row r="2" spans="1:25" ht="23.25">
      <c r="A2" s="34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3"/>
      <c r="X2" s="10"/>
      <c r="Y2" s="10"/>
    </row>
    <row r="3" ht="12.75">
      <c r="W3" s="9"/>
    </row>
    <row r="4" spans="5:25" ht="12.75">
      <c r="E4" s="22" t="s">
        <v>1</v>
      </c>
      <c r="F4" s="94"/>
      <c r="G4" s="21"/>
      <c r="H4" s="21"/>
      <c r="I4" s="21"/>
      <c r="J4" s="21"/>
      <c r="K4" s="51"/>
      <c r="L4" s="97"/>
      <c r="M4" s="52"/>
      <c r="N4" s="52"/>
      <c r="O4" s="53"/>
      <c r="P4" s="53"/>
      <c r="Q4" s="21" t="s">
        <v>2</v>
      </c>
      <c r="R4" s="21"/>
      <c r="S4" s="22" t="s">
        <v>3</v>
      </c>
      <c r="T4" s="94"/>
      <c r="U4" s="21"/>
      <c r="V4" s="21"/>
      <c r="W4" s="47"/>
      <c r="X4" s="23"/>
      <c r="Y4" s="52"/>
    </row>
    <row r="5" spans="1:25" ht="13.5" thickBot="1">
      <c r="A5" s="91">
        <f>WORKSHEET!E5</f>
        <v>0.1</v>
      </c>
      <c r="B5" s="92" t="s">
        <v>4</v>
      </c>
      <c r="C5" s="92"/>
      <c r="D5" s="30"/>
      <c r="E5" s="95">
        <v>1</v>
      </c>
      <c r="F5" s="32"/>
      <c r="G5" s="96">
        <f>E5+1</f>
        <v>2</v>
      </c>
      <c r="H5" s="32"/>
      <c r="I5" s="96">
        <f>G5+1</f>
        <v>3</v>
      </c>
      <c r="J5" s="32"/>
      <c r="K5" s="95">
        <f>I5+1</f>
        <v>4</v>
      </c>
      <c r="L5" s="32"/>
      <c r="M5" s="96">
        <f>K5+1</f>
        <v>5</v>
      </c>
      <c r="N5" s="32"/>
      <c r="O5" s="96">
        <f>M5+1</f>
        <v>6</v>
      </c>
      <c r="P5" s="32"/>
      <c r="Q5" s="96">
        <f>O5+1</f>
        <v>7</v>
      </c>
      <c r="R5" s="32"/>
      <c r="S5" s="95">
        <f>Q5+1</f>
        <v>8</v>
      </c>
      <c r="T5" s="32"/>
      <c r="U5" s="96">
        <f>S5+1</f>
        <v>9</v>
      </c>
      <c r="V5" s="32"/>
      <c r="W5" s="96">
        <f>U5+1</f>
        <v>10</v>
      </c>
      <c r="X5" s="99"/>
      <c r="Y5" s="101"/>
    </row>
    <row r="6" spans="5:25" ht="13.5" thickTop="1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5"/>
      <c r="T6" s="98"/>
      <c r="U6" s="1"/>
      <c r="V6" s="1"/>
      <c r="W6" s="98"/>
      <c r="X6" s="24"/>
      <c r="Y6" s="98"/>
    </row>
    <row r="7" spans="1:25" ht="12.75">
      <c r="A7" s="4" t="s">
        <v>5</v>
      </c>
      <c r="B7" t="s">
        <v>6</v>
      </c>
      <c r="E7" s="9">
        <f>IF(WORKSHEET!E16="","",WORKSHEET!E16)</f>
      </c>
      <c r="F7" s="9"/>
      <c r="G7" s="48">
        <f>IF(WORKSHEET!F16="","",WORKSHEET!F16)</f>
        <v>0.1</v>
      </c>
      <c r="H7" s="48"/>
      <c r="I7" s="48">
        <f>IF(WORKSHEET!G16="","",WORKSHEET!G16)</f>
        <v>0.1</v>
      </c>
      <c r="J7" s="48"/>
      <c r="K7" s="48">
        <f>IF(WORKSHEET!H16="","",WORKSHEET!H16)</f>
        <v>0.1</v>
      </c>
      <c r="L7" s="48"/>
      <c r="M7" s="48">
        <f>IF(WORKSHEET!I16="","",WORKSHEET!I16)</f>
        <v>0.085</v>
      </c>
      <c r="N7" s="48"/>
      <c r="O7" s="48">
        <f>IF(WORKSHEET!J16="","",WORKSHEET!J16)</f>
        <v>0.075</v>
      </c>
      <c r="P7" s="48"/>
      <c r="Q7" s="48">
        <f>IF(WORKSHEET!K16="","",WORKSHEET!K16)</f>
        <v>0.06</v>
      </c>
      <c r="R7" s="48"/>
      <c r="S7" s="56">
        <f>IF(WORKSHEET!L16="","",WORKSHEET!L16)</f>
      </c>
      <c r="T7" s="48"/>
      <c r="U7" s="48">
        <f>IF(WORKSHEET!M16="","",WORKSHEET!M16)</f>
      </c>
      <c r="V7" s="48"/>
      <c r="W7" s="48">
        <f>IF(WORKSHEET!N16="","",WORKSHEET!N16)</f>
      </c>
      <c r="X7" s="61"/>
      <c r="Y7" s="48"/>
    </row>
    <row r="8" spans="1:25" ht="12.75">
      <c r="A8" s="4" t="s">
        <v>7</v>
      </c>
      <c r="B8" t="s">
        <v>8</v>
      </c>
      <c r="E8" s="48">
        <f>IF(WORKSHEET!E17="","",WORKSHEET!E17)</f>
        <v>0.2</v>
      </c>
      <c r="F8" s="48"/>
      <c r="G8" s="48">
        <f>IF(WORKSHEET!F17="","",WORKSHEET!F17)</f>
        <v>0.2</v>
      </c>
      <c r="H8" s="48"/>
      <c r="I8" s="48">
        <f>IF(WORKSHEET!G17="","",WORKSHEET!G17)</f>
        <v>0.2</v>
      </c>
      <c r="J8" s="48"/>
      <c r="K8" s="48">
        <f>IF(WORKSHEET!H17="","",WORKSHEET!H17)</f>
        <v>0.2</v>
      </c>
      <c r="L8" s="48"/>
      <c r="M8" s="48">
        <f>IF(WORKSHEET!I17="","",WORKSHEET!I17)</f>
        <v>0.17</v>
      </c>
      <c r="N8" s="48"/>
      <c r="O8" s="48">
        <f>IF(WORKSHEET!J17="","",WORKSHEET!J17)</f>
        <v>0.15</v>
      </c>
      <c r="P8" s="48"/>
      <c r="Q8" s="48">
        <f>IF(WORKSHEET!K17="","",WORKSHEET!K17)</f>
        <v>0.12</v>
      </c>
      <c r="R8" s="48"/>
      <c r="S8" s="56">
        <f>IF(WORKSHEET!L17="","",WORKSHEET!L17)</f>
      </c>
      <c r="T8" s="48"/>
      <c r="U8" s="48">
        <f>IF(WORKSHEET!M17="","",WORKSHEET!M17)</f>
      </c>
      <c r="V8" s="48"/>
      <c r="W8" s="48">
        <f>IF(WORKSHEET!N17="","",WORKSHEET!N17)</f>
      </c>
      <c r="X8" s="61"/>
      <c r="Y8" s="48"/>
    </row>
    <row r="9" spans="19:25" ht="12.75">
      <c r="S9" s="54"/>
      <c r="T9" s="9"/>
      <c r="W9" s="9"/>
      <c r="X9" s="26"/>
      <c r="Y9" s="9"/>
    </row>
    <row r="10" spans="1:25" ht="12.75">
      <c r="A10" s="4"/>
      <c r="B10" s="2" t="s">
        <v>9</v>
      </c>
      <c r="C10" s="2"/>
      <c r="S10" s="54"/>
      <c r="T10" s="9"/>
      <c r="W10" s="9"/>
      <c r="X10" s="26"/>
      <c r="Y10" s="9"/>
    </row>
    <row r="11" spans="19:25" ht="12.75">
      <c r="S11" s="54"/>
      <c r="T11" s="9"/>
      <c r="W11" s="9"/>
      <c r="X11" s="26"/>
      <c r="Y11" s="9"/>
    </row>
    <row r="12" spans="2:25" ht="12.75">
      <c r="B12">
        <v>1</v>
      </c>
      <c r="E12" s="104">
        <f>IF(OR(WORKSHEET!E21="",WORKSHEET!E21=0),"",WORKSHEET!E21)</f>
      </c>
      <c r="F12" s="104"/>
      <c r="G12" s="104">
        <f>IF(OR(WORKSHEET!F21="",WORKSHEET!F21=0),"",WORKSHEET!F21)</f>
        <v>41.978021978021985</v>
      </c>
      <c r="H12" s="104"/>
      <c r="I12" s="104">
        <f>IF(OR(WORKSHEET!G21="",WORKSHEET!G21=0),"",WORKSHEET!G21)</f>
        <v>41.978021978021985</v>
      </c>
      <c r="J12" s="104"/>
      <c r="K12" s="104">
        <f>IF(OR(WORKSHEET!H21="",WORKSHEET!H21=0),"",WORKSHEET!H21)</f>
        <v>41.978021978021985</v>
      </c>
      <c r="L12" s="104"/>
      <c r="M12" s="104">
        <f>IF(OR(WORKSHEET!I21="",WORKSHEET!I21=0),"",WORKSHEET!I21)</f>
      </c>
      <c r="N12" s="104"/>
      <c r="O12" s="104">
        <f>IF(OR(WORKSHEET!J21="",WORKSHEET!J21=0),"",WORKSHEET!J21)</f>
      </c>
      <c r="P12" s="104"/>
      <c r="Q12" s="104">
        <f>IF(OR(WORKSHEET!K21="",WORKSHEET!K21=0),"",WORKSHEET!K21)</f>
      </c>
      <c r="R12" s="104"/>
      <c r="S12" s="105">
        <f>IF(OR(WORKSHEET!L21="",WORKSHEET!L21=0),"",WORKSHEET!L21)</f>
      </c>
      <c r="T12" s="104"/>
      <c r="U12" s="104">
        <f>IF(OR(WORKSHEET!M21="",WORKSHEET!M21=0),"",WORKSHEET!M21)</f>
      </c>
      <c r="V12" s="104"/>
      <c r="W12" s="104">
        <f>IF(OR(WORKSHEET!N21="",WORKSHEET!N21=0),"",WORKSHEET!N21)</f>
      </c>
      <c r="X12" s="76"/>
      <c r="Y12" s="81"/>
    </row>
    <row r="13" spans="2:25" ht="12.75">
      <c r="B13">
        <f aca="true" t="shared" si="0" ref="B13:B18">+B12+1</f>
        <v>2</v>
      </c>
      <c r="E13" s="104">
        <f>IF(OR(WORKSHEET!E22="",WORKSHEET!E22=0),"",WORKSHEET!E22)</f>
      </c>
      <c r="F13" s="104"/>
      <c r="G13" s="104">
        <f>IF(OR(WORKSHEET!F22="",WORKSHEET!F22=0),"",WORKSHEET!F22)</f>
      </c>
      <c r="H13" s="104"/>
      <c r="I13" s="104">
        <f>IF(OR(WORKSHEET!G22="",WORKSHEET!G22=0),"",WORKSHEET!G22)</f>
        <v>46.17582417582418</v>
      </c>
      <c r="J13" s="104"/>
      <c r="K13" s="104">
        <f>IF(OR(WORKSHEET!H22="",WORKSHEET!H22=0),"",WORKSHEET!H22)</f>
        <v>46.17582417582418</v>
      </c>
      <c r="L13" s="104"/>
      <c r="M13" s="104">
        <f>IF(OR(WORKSHEET!I22="",WORKSHEET!I22=0),"",WORKSHEET!I22)</f>
        <v>46.17582417582418</v>
      </c>
      <c r="N13" s="104"/>
      <c r="O13" s="104">
        <f>IF(OR(WORKSHEET!J22="",WORKSHEET!J22=0),"",WORKSHEET!J22)</f>
      </c>
      <c r="P13" s="104"/>
      <c r="Q13" s="104">
        <f>IF(OR(WORKSHEET!K22="",WORKSHEET!K22=0),"",WORKSHEET!K22)</f>
      </c>
      <c r="R13" s="104"/>
      <c r="S13" s="105">
        <f>IF(OR(WORKSHEET!L22="",WORKSHEET!L22=0),"",WORKSHEET!L22)</f>
      </c>
      <c r="T13" s="104"/>
      <c r="U13" s="104">
        <f>IF(OR(WORKSHEET!M22="",WORKSHEET!M22=0),"",WORKSHEET!M22)</f>
      </c>
      <c r="V13" s="104"/>
      <c r="W13" s="104">
        <f>IF(OR(WORKSHEET!N22="",WORKSHEET!N22=0),"",WORKSHEET!N22)</f>
      </c>
      <c r="X13" s="76"/>
      <c r="Y13" s="81"/>
    </row>
    <row r="14" spans="2:25" ht="12.75">
      <c r="B14">
        <f t="shared" si="0"/>
        <v>3</v>
      </c>
      <c r="E14" s="104">
        <f>IF(OR(WORKSHEET!E23="",WORKSHEET!E23=0),"",WORKSHEET!E23)</f>
      </c>
      <c r="F14" s="104"/>
      <c r="G14" s="104">
        <f>IF(OR(WORKSHEET!F23="",WORKSHEET!F23=0),"",WORKSHEET!F23)</f>
      </c>
      <c r="H14" s="104"/>
      <c r="I14" s="104">
        <f>IF(OR(WORKSHEET!G23="",WORKSHEET!G23=0),"",WORKSHEET!G23)</f>
      </c>
      <c r="J14" s="104"/>
      <c r="K14" s="104">
        <f>IF(OR(WORKSHEET!H23="",WORKSHEET!H23=0),"",WORKSHEET!H23)</f>
        <v>50.79340659340661</v>
      </c>
      <c r="L14" s="104"/>
      <c r="M14" s="104">
        <f>IF(OR(WORKSHEET!I23="",WORKSHEET!I23=0),"",WORKSHEET!I23)</f>
        <v>50.79340659340661</v>
      </c>
      <c r="N14" s="104"/>
      <c r="O14" s="104">
        <f>IF(OR(WORKSHEET!J23="",WORKSHEET!J23=0),"",WORKSHEET!J23)</f>
        <v>50.79340659340661</v>
      </c>
      <c r="P14" s="104"/>
      <c r="Q14" s="104">
        <f>IF(OR(WORKSHEET!K23="",WORKSHEET!K23=0),"",WORKSHEET!K23)</f>
      </c>
      <c r="R14" s="104"/>
      <c r="S14" s="105">
        <f>IF(OR(WORKSHEET!L23="",WORKSHEET!L23=0),"",WORKSHEET!L23)</f>
      </c>
      <c r="T14" s="104"/>
      <c r="U14" s="104">
        <f>IF(OR(WORKSHEET!M23="",WORKSHEET!M23=0),"",WORKSHEET!M23)</f>
      </c>
      <c r="V14" s="104"/>
      <c r="W14" s="104">
        <f>IF(OR(WORKSHEET!N23="",WORKSHEET!N23=0),"",WORKSHEET!N23)</f>
      </c>
      <c r="X14" s="76"/>
      <c r="Y14" s="81"/>
    </row>
    <row r="15" spans="2:25" ht="12.75">
      <c r="B15">
        <f t="shared" si="0"/>
        <v>4</v>
      </c>
      <c r="E15" s="104">
        <f>IF(OR(WORKSHEET!E24="",WORKSHEET!E24=0),"",WORKSHEET!E24)</f>
      </c>
      <c r="F15" s="104"/>
      <c r="G15" s="104">
        <f>IF(OR(WORKSHEET!F24="",WORKSHEET!F24=0),"",WORKSHEET!F24)</f>
      </c>
      <c r="H15" s="104"/>
      <c r="I15" s="104">
        <f>IF(OR(WORKSHEET!G24="",WORKSHEET!G24=0),"",WORKSHEET!G24)</f>
      </c>
      <c r="J15" s="104"/>
      <c r="K15" s="104">
        <f>IF(OR(WORKSHEET!H24="",WORKSHEET!H24=0),"",WORKSHEET!H24)</f>
      </c>
      <c r="L15" s="104"/>
      <c r="M15" s="104">
        <f>IF(OR(WORKSHEET!I24="",WORKSHEET!I24=0),"",WORKSHEET!I24)</f>
        <v>55.87274725274728</v>
      </c>
      <c r="N15" s="104"/>
      <c r="O15" s="104">
        <f>IF(OR(WORKSHEET!J24="",WORKSHEET!J24=0),"",WORKSHEET!J24)</f>
        <v>55.87274725274728</v>
      </c>
      <c r="P15" s="104"/>
      <c r="Q15" s="104">
        <f>IF(OR(WORKSHEET!K24="",WORKSHEET!K24=0),"",WORKSHEET!K24)</f>
        <v>55.87274725274728</v>
      </c>
      <c r="R15" s="104"/>
      <c r="S15" s="105">
        <f>IF(OR(WORKSHEET!L24="",WORKSHEET!L24=0),"",WORKSHEET!L24)</f>
      </c>
      <c r="T15" s="104"/>
      <c r="U15" s="104">
        <f>IF(OR(WORKSHEET!M24="",WORKSHEET!M24=0),"",WORKSHEET!M24)</f>
      </c>
      <c r="V15" s="104"/>
      <c r="W15" s="104">
        <f>IF(OR(WORKSHEET!N24="",WORKSHEET!N24=0),"",WORKSHEET!N24)</f>
      </c>
      <c r="X15" s="76"/>
      <c r="Y15" s="81"/>
    </row>
    <row r="16" spans="2:25" ht="12.75">
      <c r="B16">
        <f t="shared" si="0"/>
        <v>5</v>
      </c>
      <c r="E16" s="104">
        <f>IF(OR(WORKSHEET!E25="",WORKSHEET!E25=0),"",WORKSHEET!E25)</f>
      </c>
      <c r="F16" s="104"/>
      <c r="G16" s="104">
        <f>IF(OR(WORKSHEET!F25="",WORKSHEET!F25=0),"",WORKSHEET!F25)</f>
      </c>
      <c r="H16" s="104"/>
      <c r="I16" s="104">
        <f>IF(OR(WORKSHEET!G25="",WORKSHEET!G25=0),"",WORKSHEET!G25)</f>
      </c>
      <c r="J16" s="104"/>
      <c r="K16" s="104">
        <f>IF(OR(WORKSHEET!H25="",WORKSHEET!H25=0),"",WORKSHEET!H25)</f>
      </c>
      <c r="L16" s="104"/>
      <c r="M16" s="104">
        <f>IF(OR(WORKSHEET!I25="",WORKSHEET!I25=0),"",WORKSHEET!I25)</f>
      </c>
      <c r="N16" s="104"/>
      <c r="O16" s="104">
        <f>IF(OR(WORKSHEET!J25="",WORKSHEET!J25=0),"",WORKSHEET!J25)</f>
        <v>57.19625843496571</v>
      </c>
      <c r="P16" s="104"/>
      <c r="Q16" s="104">
        <f>IF(OR(WORKSHEET!K25="",WORKSHEET!K25=0),"",WORKSHEET!K25)</f>
        <v>57.19625843496571</v>
      </c>
      <c r="R16" s="104"/>
      <c r="S16" s="105">
        <f>IF(OR(WORKSHEET!L25="",WORKSHEET!L25=0),"",WORKSHEET!L25)</f>
        <v>57.19625843496571</v>
      </c>
      <c r="T16" s="104"/>
      <c r="U16" s="104">
        <f>IF(OR(WORKSHEET!M25="",WORKSHEET!M25=0),"",WORKSHEET!M25)</f>
      </c>
      <c r="V16" s="104"/>
      <c r="W16" s="104">
        <f>IF(OR(WORKSHEET!N25="",WORKSHEET!N25=0),"",WORKSHEET!N25)</f>
      </c>
      <c r="X16" s="76"/>
      <c r="Y16" s="81"/>
    </row>
    <row r="17" spans="2:25" ht="12.75">
      <c r="B17">
        <f t="shared" si="0"/>
        <v>6</v>
      </c>
      <c r="E17" s="104">
        <f>IF(OR(WORKSHEET!E26="",WORKSHEET!E26=0),"",WORKSHEET!E26)</f>
      </c>
      <c r="F17" s="104"/>
      <c r="G17" s="104">
        <f>IF(OR(WORKSHEET!F26="",WORKSHEET!F26=0),"",WORKSHEET!F26)</f>
      </c>
      <c r="H17" s="104"/>
      <c r="I17" s="104">
        <f>IF(OR(WORKSHEET!G26="",WORKSHEET!G26=0),"",WORKSHEET!G26)</f>
      </c>
      <c r="J17" s="104"/>
      <c r="K17" s="104">
        <f>IF(OR(WORKSHEET!H26="",WORKSHEET!H26=0),"",WORKSHEET!H26)</f>
      </c>
      <c r="L17" s="104"/>
      <c r="M17" s="104">
        <f>IF(OR(WORKSHEET!I26="",WORKSHEET!I26=0),"",WORKSHEET!I26)</f>
      </c>
      <c r="N17" s="104"/>
      <c r="O17" s="104">
        <f>IF(OR(WORKSHEET!J26="",WORKSHEET!J26=0),"",WORKSHEET!J26)</f>
      </c>
      <c r="P17" s="104"/>
      <c r="Q17" s="104">
        <f>IF(OR(WORKSHEET!K26="",WORKSHEET!K26=0),"",WORKSHEET!K26)</f>
        <v>59.05215131704469</v>
      </c>
      <c r="R17" s="104"/>
      <c r="S17" s="105">
        <f>IF(OR(WORKSHEET!L26="",WORKSHEET!L26=0),"",WORKSHEET!L26)</f>
        <v>59.05215131704469</v>
      </c>
      <c r="T17" s="104"/>
      <c r="U17" s="104">
        <f>IF(OR(WORKSHEET!M26="",WORKSHEET!M26=0),"",WORKSHEET!M26)</f>
        <v>59.05215131704469</v>
      </c>
      <c r="V17" s="104"/>
      <c r="W17" s="104">
        <f>IF(OR(WORKSHEET!N26="",WORKSHEET!N26=0),"",WORKSHEET!N26)</f>
      </c>
      <c r="X17" s="76"/>
      <c r="Y17" s="81"/>
    </row>
    <row r="18" spans="2:25" ht="12.75">
      <c r="B18">
        <f t="shared" si="0"/>
        <v>7</v>
      </c>
      <c r="E18" s="104">
        <f>IF(OR(WORKSHEET!E27="",WORKSHEET!E27=0),"",WORKSHEET!E27)</f>
      </c>
      <c r="F18" s="104"/>
      <c r="G18" s="104">
        <f>IF(OR(WORKSHEET!F27="",WORKSHEET!F27=0),"",WORKSHEET!F27)</f>
      </c>
      <c r="H18" s="104"/>
      <c r="I18" s="104">
        <f>IF(OR(WORKSHEET!G27="",WORKSHEET!G27=0),"",WORKSHEET!G27)</f>
      </c>
      <c r="J18" s="104"/>
      <c r="K18" s="104">
        <f>IF(OR(WORKSHEET!H27="",WORKSHEET!H27=0),"",WORKSHEET!H27)</f>
      </c>
      <c r="L18" s="104"/>
      <c r="M18" s="104">
        <f>IF(OR(WORKSHEET!I27="",WORKSHEET!I27=0),"",WORKSHEET!I27)</f>
      </c>
      <c r="N18" s="104"/>
      <c r="O18" s="104">
        <f>IF(OR(WORKSHEET!J27="",WORKSHEET!J27=0),"",WORKSHEET!J27)</f>
      </c>
      <c r="P18" s="104"/>
      <c r="Q18" s="104">
        <f>IF(OR(WORKSHEET!K27="",WORKSHEET!K27=0),"",WORKSHEET!K27)</f>
      </c>
      <c r="R18" s="104"/>
      <c r="S18" s="105">
        <f>IF(OR(WORKSHEET!L27="",WORKSHEET!L27=0),"",WORKSHEET!L27)</f>
        <v>58.760658948274056</v>
      </c>
      <c r="T18" s="104"/>
      <c r="U18" s="104">
        <f>IF(OR(WORKSHEET!M27="",WORKSHEET!M27=0),"",WORKSHEET!M27)</f>
        <v>58.760658948274056</v>
      </c>
      <c r="V18" s="104"/>
      <c r="W18" s="106">
        <f>IF(OR(WORKSHEET!N27="",WORKSHEET!N27=0),"",WORKSHEET!N27)</f>
        <v>58.760658948274056</v>
      </c>
      <c r="X18" s="100"/>
      <c r="Y18" s="102"/>
    </row>
    <row r="19" spans="5:25" ht="12.75">
      <c r="E19" s="81">
        <f>IF(OR(WORKSHEET!E28="",WORKSHEET!E28=0),"",WORKSHEET!E28)</f>
      </c>
      <c r="F19" s="81"/>
      <c r="G19" s="81">
        <f>IF(OR(WORKSHEET!F28="",WORKSHEET!F28=0),"",WORKSHEET!F28)</f>
      </c>
      <c r="H19" s="81"/>
      <c r="I19" s="81">
        <f>IF(OR(WORKSHEET!G28="",WORKSHEET!G28=0),"",WORKSHEET!G28)</f>
      </c>
      <c r="J19" s="81"/>
      <c r="K19" s="81">
        <f>IF(OR(WORKSHEET!H28="",WORKSHEET!H28=0),"",WORKSHEET!H28)</f>
      </c>
      <c r="L19" s="81"/>
      <c r="M19" s="81">
        <f>IF(OR(WORKSHEET!I28="",WORKSHEET!I28=0),"",WORKSHEET!I28)</f>
      </c>
      <c r="N19" s="81"/>
      <c r="O19" s="81">
        <f>IF(OR(WORKSHEET!J28="",WORKSHEET!J28=0),"",WORKSHEET!J28)</f>
      </c>
      <c r="P19" s="81"/>
      <c r="Q19" s="81">
        <f>IF(OR(WORKSHEET!K28="",WORKSHEET!K28=0),"",WORKSHEET!K28)</f>
      </c>
      <c r="R19" s="81"/>
      <c r="S19" s="75">
        <f>IF(OR(WORKSHEET!L28="",WORKSHEET!L28=0),"",WORKSHEET!L28)</f>
      </c>
      <c r="T19" s="81"/>
      <c r="U19" s="81">
        <f>IF(OR(WORKSHEET!M28="",WORKSHEET!M28=0),"",WORKSHEET!M28)</f>
      </c>
      <c r="V19" s="81"/>
      <c r="W19" s="81">
        <f>IF(OR(WORKSHEET!N28="",WORKSHEET!N28=0),"",WORKSHEET!N28)</f>
      </c>
      <c r="X19" s="76"/>
      <c r="Y19" s="81"/>
    </row>
    <row r="20" spans="5:25" ht="12.75"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88"/>
      <c r="T20" s="90"/>
      <c r="U20" s="90"/>
      <c r="V20" s="90"/>
      <c r="W20" s="90"/>
      <c r="X20" s="89"/>
      <c r="Y20" s="90"/>
    </row>
    <row r="21" spans="1:25" ht="12.75">
      <c r="A21" s="4" t="s">
        <v>10</v>
      </c>
      <c r="B21" t="s">
        <v>11</v>
      </c>
      <c r="E21" s="107">
        <f>SUM(E12:E19)</f>
        <v>0</v>
      </c>
      <c r="F21" s="107"/>
      <c r="G21" s="107">
        <f>SUM(G12:G19)</f>
        <v>41.978021978021985</v>
      </c>
      <c r="H21" s="107"/>
      <c r="I21" s="107">
        <f>SUM(I12:I19)</f>
        <v>88.15384615384616</v>
      </c>
      <c r="J21" s="107"/>
      <c r="K21" s="107">
        <f>SUM(K12:K19)</f>
        <v>138.94725274725278</v>
      </c>
      <c r="L21" s="107"/>
      <c r="M21" s="107">
        <f>SUM(M12:M19)</f>
        <v>152.84197802197806</v>
      </c>
      <c r="N21" s="107"/>
      <c r="O21" s="107">
        <f>SUM(O12:O19)</f>
        <v>163.8624122811196</v>
      </c>
      <c r="P21" s="107"/>
      <c r="Q21" s="107">
        <f>SUM(Q12:Q19)</f>
        <v>172.1211570047577</v>
      </c>
      <c r="R21" s="107"/>
      <c r="S21" s="108">
        <f>SUM(S12:S19)</f>
        <v>175.00906870028444</v>
      </c>
      <c r="T21" s="109"/>
      <c r="U21" s="107">
        <f>SUM(U12:U19)</f>
        <v>117.81281026531875</v>
      </c>
      <c r="V21" s="107"/>
      <c r="W21" s="109">
        <f>SUM(W12:W19)</f>
        <v>58.760658948274056</v>
      </c>
      <c r="X21" s="89"/>
      <c r="Y21" s="90"/>
    </row>
    <row r="22" spans="5:25" ht="12.75"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8"/>
      <c r="T22" s="109"/>
      <c r="U22" s="107"/>
      <c r="V22" s="107"/>
      <c r="W22" s="109"/>
      <c r="X22" s="89"/>
      <c r="Y22" s="90"/>
    </row>
    <row r="23" spans="1:25" ht="12.75">
      <c r="A23" s="4" t="s">
        <v>12</v>
      </c>
      <c r="B23" t="s">
        <v>13</v>
      </c>
      <c r="E23" s="110">
        <f>WORKSHEET!E40</f>
        <v>20</v>
      </c>
      <c r="F23" s="110"/>
      <c r="G23" s="110">
        <f>WORKSHEET!F40</f>
        <v>22</v>
      </c>
      <c r="H23" s="110"/>
      <c r="I23" s="110">
        <f>WORKSHEET!G40</f>
        <v>24.200000000000006</v>
      </c>
      <c r="J23" s="110"/>
      <c r="K23" s="110">
        <f>WORKSHEET!H40</f>
        <v>26.620000000000008</v>
      </c>
      <c r="L23" s="110"/>
      <c r="M23" s="110">
        <f>WORKSHEET!I40</f>
        <v>28.88270000000001</v>
      </c>
      <c r="N23" s="110"/>
      <c r="O23" s="110">
        <f>WORKSHEET!J40</f>
        <v>31.048902500000015</v>
      </c>
      <c r="P23" s="110"/>
      <c r="Q23" s="110">
        <f>WORKSHEET!K40</f>
        <v>32.91183665000002</v>
      </c>
      <c r="R23" s="110"/>
      <c r="S23" s="105">
        <f>WORKSHEET!L40</f>
        <v>0</v>
      </c>
      <c r="T23" s="104"/>
      <c r="U23" s="110">
        <f>WORKSHEET!M40</f>
        <v>0</v>
      </c>
      <c r="V23" s="110"/>
      <c r="W23" s="104">
        <f>WORKSHEET!N40</f>
        <v>0</v>
      </c>
      <c r="X23" s="76"/>
      <c r="Y23" s="81"/>
    </row>
    <row r="24" spans="1:25" ht="12.75">
      <c r="A24" s="4" t="s">
        <v>14</v>
      </c>
      <c r="B24" t="s">
        <v>15</v>
      </c>
      <c r="E24" s="110">
        <f>WORKSHEET!E41</f>
        <v>0</v>
      </c>
      <c r="F24" s="110"/>
      <c r="G24" s="110">
        <f>WORKSHEET!F41</f>
        <v>0</v>
      </c>
      <c r="H24" s="110"/>
      <c r="I24" s="110">
        <f>WORKSHEET!G41</f>
        <v>0</v>
      </c>
      <c r="J24" s="110"/>
      <c r="K24" s="110">
        <f>WORKSHEET!H41</f>
        <v>20</v>
      </c>
      <c r="L24" s="110"/>
      <c r="M24" s="110">
        <f>WORKSHEET!I41</f>
        <v>22</v>
      </c>
      <c r="N24" s="110"/>
      <c r="O24" s="110">
        <f>WORKSHEET!J41</f>
        <v>24.200000000000006</v>
      </c>
      <c r="P24" s="110"/>
      <c r="Q24" s="110">
        <f>WORKSHEET!K41</f>
        <v>26.620000000000008</v>
      </c>
      <c r="R24" s="110"/>
      <c r="S24" s="105">
        <f>WORKSHEET!L41</f>
        <v>28.88270000000001</v>
      </c>
      <c r="T24" s="104"/>
      <c r="U24" s="110">
        <f>WORKSHEET!M41</f>
        <v>31.048902500000015</v>
      </c>
      <c r="V24" s="110"/>
      <c r="W24" s="104">
        <f>WORKSHEET!N41</f>
        <v>32.91183665000002</v>
      </c>
      <c r="X24" s="76"/>
      <c r="Y24" s="81"/>
    </row>
    <row r="25" spans="5:25" ht="12.75"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2"/>
      <c r="T25" s="111"/>
      <c r="U25" s="111"/>
      <c r="V25" s="111"/>
      <c r="W25" s="111"/>
      <c r="X25" s="86"/>
      <c r="Y25" s="90"/>
    </row>
    <row r="26" spans="1:25" ht="12.75">
      <c r="A26" s="4" t="s">
        <v>16</v>
      </c>
      <c r="B26" t="s">
        <v>17</v>
      </c>
      <c r="E26" s="107">
        <f>E23-E24</f>
        <v>20</v>
      </c>
      <c r="F26" s="107"/>
      <c r="G26" s="107">
        <f>G23-G24</f>
        <v>22</v>
      </c>
      <c r="H26" s="107"/>
      <c r="I26" s="107">
        <f>I23-I24</f>
        <v>24.200000000000006</v>
      </c>
      <c r="J26" s="107"/>
      <c r="K26" s="107">
        <f>K23-K24</f>
        <v>6.620000000000008</v>
      </c>
      <c r="L26" s="107"/>
      <c r="M26" s="107">
        <f>M23-M24</f>
        <v>6.8827000000000105</v>
      </c>
      <c r="N26" s="107"/>
      <c r="O26" s="107">
        <f>O23-O24</f>
        <v>6.848902500000008</v>
      </c>
      <c r="P26" s="107"/>
      <c r="Q26" s="107">
        <f>Q23-Q24</f>
        <v>6.291836650000011</v>
      </c>
      <c r="R26" s="107"/>
      <c r="S26" s="108">
        <f>S23-S24</f>
        <v>-28.88270000000001</v>
      </c>
      <c r="T26" s="109"/>
      <c r="U26" s="107">
        <f>U23-U24</f>
        <v>-31.048902500000015</v>
      </c>
      <c r="V26" s="107"/>
      <c r="W26" s="109">
        <f>W23-W24</f>
        <v>-32.91183665000002</v>
      </c>
      <c r="X26" s="89"/>
      <c r="Y26" s="90"/>
    </row>
    <row r="27" spans="5:25" ht="12.75"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8"/>
      <c r="T27" s="109"/>
      <c r="U27" s="107"/>
      <c r="V27" s="107"/>
      <c r="W27" s="109"/>
      <c r="X27" s="89"/>
      <c r="Y27" s="90"/>
    </row>
    <row r="28" spans="1:25" ht="12.75">
      <c r="A28" s="4" t="s">
        <v>18</v>
      </c>
      <c r="B28" t="s">
        <v>19</v>
      </c>
      <c r="E28" s="110">
        <f>WORKSHEET!E45</f>
        <v>80</v>
      </c>
      <c r="F28" s="110"/>
      <c r="G28" s="110">
        <f>WORKSHEET!F45</f>
        <v>88.00000000000001</v>
      </c>
      <c r="H28" s="110"/>
      <c r="I28" s="110">
        <f>WORKSHEET!G45</f>
        <v>96.80000000000003</v>
      </c>
      <c r="J28" s="110"/>
      <c r="K28" s="110">
        <f>WORKSHEET!H45</f>
        <v>106.48000000000005</v>
      </c>
      <c r="L28" s="110"/>
      <c r="M28" s="110">
        <f>WORKSHEET!I45</f>
        <v>115.53080000000006</v>
      </c>
      <c r="N28" s="110"/>
      <c r="O28" s="110">
        <f>WORKSHEET!J45</f>
        <v>124.19561000000004</v>
      </c>
      <c r="P28" s="110"/>
      <c r="Q28" s="110">
        <f>WORKSHEET!K45</f>
        <v>131.64734660000008</v>
      </c>
      <c r="R28" s="110"/>
      <c r="S28" s="105">
        <f>WORKSHEET!L45</f>
        <v>0</v>
      </c>
      <c r="T28" s="104"/>
      <c r="U28" s="110">
        <f>WORKSHEET!M45</f>
        <v>0</v>
      </c>
      <c r="V28" s="110"/>
      <c r="W28" s="104">
        <f>WORKSHEET!N45</f>
        <v>0</v>
      </c>
      <c r="X28" s="76"/>
      <c r="Y28" s="81"/>
    </row>
    <row r="29" spans="5:25" ht="12.75"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  <c r="T29" s="109"/>
      <c r="U29" s="107"/>
      <c r="V29" s="107"/>
      <c r="W29" s="109"/>
      <c r="X29" s="89"/>
      <c r="Y29" s="90"/>
    </row>
    <row r="30" spans="1:25" ht="12.75">
      <c r="A30" s="4" t="s">
        <v>20</v>
      </c>
      <c r="B30" t="s">
        <v>21</v>
      </c>
      <c r="E30" s="111">
        <f>E21-E26-E28</f>
        <v>-100</v>
      </c>
      <c r="F30" s="111"/>
      <c r="G30" s="111">
        <f>G21-G26-G28</f>
        <v>-68.02197802197803</v>
      </c>
      <c r="H30" s="111"/>
      <c r="I30" s="111">
        <f>I21-I26-I28</f>
        <v>-32.84615384615387</v>
      </c>
      <c r="J30" s="111"/>
      <c r="K30" s="111">
        <f>K21-K26-K28</f>
        <v>25.847252747252725</v>
      </c>
      <c r="L30" s="111"/>
      <c r="M30" s="111">
        <f>M21-M26-M28</f>
        <v>30.42847802197801</v>
      </c>
      <c r="N30" s="111"/>
      <c r="O30" s="111">
        <f>O21-O26-O28</f>
        <v>32.817899781119536</v>
      </c>
      <c r="P30" s="111"/>
      <c r="Q30" s="111">
        <f>Q21-Q26-Q28</f>
        <v>34.18197375475759</v>
      </c>
      <c r="R30" s="111"/>
      <c r="S30" s="112">
        <f>S21-S26-S28</f>
        <v>203.89176870028444</v>
      </c>
      <c r="T30" s="111"/>
      <c r="U30" s="111">
        <f>U21-U26-U28</f>
        <v>148.86171276531877</v>
      </c>
      <c r="V30" s="111"/>
      <c r="W30" s="111">
        <f>W21-W26-W28</f>
        <v>91.67249559827408</v>
      </c>
      <c r="X30" s="86"/>
      <c r="Y30" s="90"/>
    </row>
    <row r="31" spans="5:25" ht="12.75"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8"/>
      <c r="T31" s="109"/>
      <c r="U31" s="107"/>
      <c r="V31" s="107"/>
      <c r="W31" s="109"/>
      <c r="X31" s="89"/>
      <c r="Y31" s="90"/>
    </row>
    <row r="32" spans="5:25" ht="12.75"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8"/>
      <c r="T32" s="109"/>
      <c r="U32" s="107"/>
      <c r="V32" s="107"/>
      <c r="W32" s="109"/>
      <c r="X32" s="89"/>
      <c r="Y32" s="90"/>
    </row>
    <row r="33" spans="1:25" ht="12.75">
      <c r="A33" s="4" t="s">
        <v>22</v>
      </c>
      <c r="B33" t="s">
        <v>23</v>
      </c>
      <c r="E33" s="107">
        <f>WORKSHEET!E50</f>
        <v>20</v>
      </c>
      <c r="F33" s="107"/>
      <c r="G33" s="107">
        <f>WORKSHEET!F50</f>
        <v>42</v>
      </c>
      <c r="H33" s="107"/>
      <c r="I33" s="107">
        <f>WORKSHEET!G50</f>
        <v>66.2</v>
      </c>
      <c r="J33" s="107"/>
      <c r="K33" s="107">
        <f>WORKSHEET!H50</f>
        <v>72.82000000000001</v>
      </c>
      <c r="L33" s="107"/>
      <c r="M33" s="107">
        <f>WORKSHEET!I50</f>
        <v>79.70270000000002</v>
      </c>
      <c r="N33" s="107"/>
      <c r="O33" s="107">
        <f>WORKSHEET!J50</f>
        <v>86.55160250000003</v>
      </c>
      <c r="P33" s="107"/>
      <c r="Q33" s="107">
        <f>WORKSHEET!K50</f>
        <v>92.84343915000004</v>
      </c>
      <c r="R33" s="107"/>
      <c r="S33" s="108">
        <f>WORKSHEET!L50</f>
        <v>63.96073915000002</v>
      </c>
      <c r="T33" s="109"/>
      <c r="U33" s="107">
        <f>WORKSHEET!M50</f>
        <v>32.91183665000001</v>
      </c>
      <c r="V33" s="107"/>
      <c r="W33" s="109">
        <f>IF(WORKSHEET!N50&lt;0.001,0,WORKSHEET!N50)</f>
        <v>0</v>
      </c>
      <c r="X33" s="89"/>
      <c r="Y33" s="90"/>
    </row>
    <row r="34" spans="1:25" ht="12.75">
      <c r="A34" s="4" t="s">
        <v>24</v>
      </c>
      <c r="B34" t="s">
        <v>25</v>
      </c>
      <c r="E34" s="107">
        <f>WORKSHEET!E51</f>
        <v>100</v>
      </c>
      <c r="F34" s="107"/>
      <c r="G34" s="107">
        <f>WORKSHEET!F51</f>
        <v>210</v>
      </c>
      <c r="H34" s="107"/>
      <c r="I34" s="107">
        <f>WORKSHEET!G51</f>
        <v>331</v>
      </c>
      <c r="J34" s="107"/>
      <c r="K34" s="107">
        <f>WORKSHEET!H51</f>
        <v>364.1000000000001</v>
      </c>
      <c r="L34" s="107"/>
      <c r="M34" s="107">
        <f>WORKSHEET!I51</f>
        <v>398.51350000000014</v>
      </c>
      <c r="N34" s="107"/>
      <c r="O34" s="107">
        <f>WORKSHEET!J51</f>
        <v>432.7580125000002</v>
      </c>
      <c r="P34" s="107"/>
      <c r="Q34" s="107">
        <f>WORKSHEET!K51</f>
        <v>464.21719575000026</v>
      </c>
      <c r="R34" s="107"/>
      <c r="S34" s="108">
        <f>WORKSHEET!L51</f>
        <v>319.80369575000014</v>
      </c>
      <c r="T34" s="109"/>
      <c r="U34" s="107">
        <f>WORKSHEET!M51</f>
        <v>164.5591832500001</v>
      </c>
      <c r="V34" s="107"/>
      <c r="W34" s="109">
        <f>IF(WORKSHEET!N51&lt;0.001,0,WORKSHEET!N51)</f>
        <v>0</v>
      </c>
      <c r="X34" s="89"/>
      <c r="Y34" s="90"/>
    </row>
    <row r="35" spans="1:25" ht="12.75">
      <c r="A35" s="4" t="s">
        <v>26</v>
      </c>
      <c r="B35" s="4" t="s">
        <v>27</v>
      </c>
      <c r="C35" s="4"/>
      <c r="E35" s="5">
        <f>WORKSHEET!E52</f>
        <v>0.2</v>
      </c>
      <c r="F35" s="5"/>
      <c r="G35" s="5">
        <f>WORKSHEET!F52</f>
        <v>0.2</v>
      </c>
      <c r="H35" s="5"/>
      <c r="I35" s="5">
        <f>WORKSHEET!G52</f>
        <v>0.2</v>
      </c>
      <c r="J35" s="5"/>
      <c r="K35" s="5">
        <f>WORKSHEET!H52</f>
        <v>0.19999999999999998</v>
      </c>
      <c r="L35" s="5"/>
      <c r="M35" s="5">
        <f>WORKSHEET!I52</f>
        <v>0.19999999999999998</v>
      </c>
      <c r="N35" s="5"/>
      <c r="O35" s="5">
        <f>WORKSHEET!J52</f>
        <v>0.19999999999999998</v>
      </c>
      <c r="P35" s="5"/>
      <c r="Q35" s="5">
        <f>WORKSHEET!K52</f>
        <v>0.19999999999999996</v>
      </c>
      <c r="R35" s="5"/>
      <c r="S35" s="59">
        <f>WORKSHEET!L52</f>
        <v>0.19999999999999998</v>
      </c>
      <c r="T35" s="17"/>
      <c r="U35" s="5">
        <f>WORKSHEET!M52</f>
        <v>0.19999999999999996</v>
      </c>
      <c r="V35" s="5"/>
      <c r="W35" s="17">
        <f>WORKSHEET!N52</f>
      </c>
      <c r="X35" s="25"/>
      <c r="Y35" s="17"/>
    </row>
    <row r="36" spans="19:25" ht="12.75">
      <c r="S36" s="54"/>
      <c r="T36" s="9"/>
      <c r="W36" s="9"/>
      <c r="X36" s="26"/>
      <c r="Y36" s="9"/>
    </row>
    <row r="37" spans="1:25" ht="12.75">
      <c r="A37" s="4" t="s">
        <v>28</v>
      </c>
      <c r="B37" t="s">
        <v>29</v>
      </c>
      <c r="E37" s="5"/>
      <c r="F37" s="5"/>
      <c r="G37" s="5">
        <f>WORKSHEET!F54</f>
        <v>0.19999999999569804</v>
      </c>
      <c r="H37" s="5"/>
      <c r="I37" s="5">
        <f>WORKSHEET!G54</f>
        <v>0.1999999999956978</v>
      </c>
      <c r="J37" s="5"/>
      <c r="K37" s="5">
        <f>WORKSHEET!H54</f>
        <v>0.19999999999569798</v>
      </c>
      <c r="L37" s="5"/>
      <c r="M37" s="5">
        <f>WORKSHEET!I54</f>
        <v>0.19999999999569779</v>
      </c>
      <c r="N37" s="5"/>
      <c r="O37" s="5">
        <f>WORKSHEET!J54</f>
        <v>0.18916380966218746</v>
      </c>
      <c r="P37" s="5"/>
      <c r="Q37" s="5">
        <f>WORKSHEET!K54</f>
        <v>0.1721244078240264</v>
      </c>
      <c r="R37" s="5"/>
      <c r="S37" s="59">
        <f>WORKSHEET!L54</f>
        <v>0.14566489146098652</v>
      </c>
      <c r="T37" s="17"/>
      <c r="U37" s="5">
        <f>WORKSHEET!M54</f>
        <v>0.1346050832965551</v>
      </c>
      <c r="V37" s="5"/>
      <c r="W37" s="17">
        <f>WORKSHEET!N54</f>
        <v>0.11999999999962706</v>
      </c>
      <c r="X37" s="25"/>
      <c r="Y37" s="17"/>
    </row>
    <row r="38" spans="2:25" ht="12.75">
      <c r="B38" s="4" t="s">
        <v>30</v>
      </c>
      <c r="C38" s="4"/>
      <c r="S38" s="54"/>
      <c r="T38" s="9"/>
      <c r="W38" s="9"/>
      <c r="X38" s="26"/>
      <c r="Y38" s="9"/>
    </row>
    <row r="39" spans="4:25" ht="12.7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58"/>
      <c r="T39" s="11"/>
      <c r="U39" s="6"/>
      <c r="V39" s="6"/>
      <c r="W39" s="11"/>
      <c r="X39" s="27"/>
      <c r="Y39" s="11"/>
    </row>
    <row r="40" spans="4:25" ht="12.75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58"/>
      <c r="T40" s="11"/>
      <c r="U40" s="6"/>
      <c r="V40" s="6"/>
      <c r="W40" s="11"/>
      <c r="X40" s="27"/>
      <c r="Y40" s="11"/>
    </row>
    <row r="41" spans="1:25" ht="18">
      <c r="A41" s="38"/>
      <c r="B41" s="39" t="s">
        <v>31</v>
      </c>
      <c r="C41" s="39"/>
      <c r="D41" s="40"/>
      <c r="E41" s="41"/>
      <c r="F41" s="41"/>
      <c r="G41" s="46"/>
      <c r="H41" s="46"/>
      <c r="I41" s="113">
        <f>WORKSHEET!G58</f>
        <v>354.32011499665066</v>
      </c>
      <c r="J41" s="113"/>
      <c r="K41" s="113">
        <f>WORKSHEET!H58</f>
        <v>363.9048737490631</v>
      </c>
      <c r="L41" s="113"/>
      <c r="M41" s="113">
        <f>WORKSHEET!I58</f>
        <v>369.86688310199145</v>
      </c>
      <c r="N41" s="113"/>
      <c r="O41" s="113">
        <f>WORKSHEET!J58</f>
        <v>374.03567163107107</v>
      </c>
      <c r="P41" s="113"/>
      <c r="Q41" s="113">
        <f>WORKSHEET!K58</f>
        <v>377.25726503942064</v>
      </c>
      <c r="R41" s="113"/>
      <c r="S41" s="114">
        <f>WORKSHEET!L58</f>
        <v>211.09122284307827</v>
      </c>
      <c r="T41" s="113"/>
      <c r="U41" s="113">
        <f>WORKSHEET!M58</f>
        <v>83.33863236206734</v>
      </c>
      <c r="V41" s="113"/>
      <c r="W41" s="113">
        <f>WORKSHEET!N58</f>
        <v>0</v>
      </c>
      <c r="X41" s="42"/>
      <c r="Y41" s="46"/>
    </row>
    <row r="42" spans="2:25" ht="12.75">
      <c r="B42" s="4" t="s">
        <v>32</v>
      </c>
      <c r="C42" s="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58"/>
      <c r="T42" s="11"/>
      <c r="U42" s="6"/>
      <c r="V42" s="6"/>
      <c r="W42" s="11"/>
      <c r="X42" s="27"/>
      <c r="Y42" s="11"/>
    </row>
    <row r="43" spans="4:25" ht="12.7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58"/>
      <c r="T43" s="11"/>
      <c r="U43" s="6"/>
      <c r="V43" s="6"/>
      <c r="W43" s="11"/>
      <c r="X43" s="27"/>
      <c r="Y43" s="11"/>
    </row>
    <row r="44" spans="2:25" ht="12.75">
      <c r="B44" s="36"/>
      <c r="C44" s="3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58"/>
      <c r="T44" s="11"/>
      <c r="U44" s="6"/>
      <c r="V44" s="6"/>
      <c r="W44" s="11"/>
      <c r="X44" s="27"/>
      <c r="Y44" s="11"/>
    </row>
    <row r="45" spans="3:25" ht="12.75">
      <c r="C45" s="35" t="s">
        <v>33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58"/>
      <c r="T45" s="11"/>
      <c r="U45" s="6"/>
      <c r="V45" s="6"/>
      <c r="W45" s="11"/>
      <c r="X45" s="27"/>
      <c r="Y45" s="11"/>
    </row>
    <row r="46" spans="19:25" ht="12.75">
      <c r="S46" s="54"/>
      <c r="T46" s="9"/>
      <c r="W46" s="9"/>
      <c r="X46" s="26"/>
      <c r="Y46" s="9"/>
    </row>
    <row r="47" spans="1:25" ht="12.75">
      <c r="A47" s="4" t="s">
        <v>34</v>
      </c>
      <c r="B47" s="14" t="s">
        <v>35</v>
      </c>
      <c r="C47" s="14"/>
      <c r="G47" s="6"/>
      <c r="H47" s="6"/>
      <c r="I47" s="107">
        <f>WORKSHEET!G75</f>
        <v>244.61738261738265</v>
      </c>
      <c r="J47" s="107"/>
      <c r="K47" s="107">
        <f>WORKSHEET!H75</f>
        <v>269.0791208791209</v>
      </c>
      <c r="L47" s="107"/>
      <c r="M47" s="107">
        <f>WORKSHEET!I75</f>
        <v>285.38368411089755</v>
      </c>
      <c r="N47" s="107"/>
      <c r="O47" s="107">
        <f>WORKSHEET!J75</f>
        <v>296.9136003155619</v>
      </c>
      <c r="P47" s="107"/>
      <c r="Q47" s="107">
        <f>WORKSHEET!K75</f>
        <v>300.61286503942057</v>
      </c>
      <c r="R47" s="107"/>
      <c r="S47" s="108">
        <f>WORKSHEET!L75</f>
        <v>155.66508284307824</v>
      </c>
      <c r="T47" s="109"/>
      <c r="U47" s="107">
        <f>WORKSHEET!M75</f>
        <v>53.41878086206732</v>
      </c>
      <c r="V47" s="107"/>
      <c r="W47" s="109">
        <f>WORKSHEET!N75</f>
        <v>0</v>
      </c>
      <c r="X47" s="89"/>
      <c r="Y47" s="90"/>
    </row>
    <row r="48" spans="1:25" ht="12.75">
      <c r="A48" s="4" t="s">
        <v>36</v>
      </c>
      <c r="B48" t="s">
        <v>37</v>
      </c>
      <c r="I48" s="107">
        <f>WORKSHEET!G76</f>
        <v>54.54545454545454</v>
      </c>
      <c r="J48" s="107"/>
      <c r="K48" s="107">
        <f>WORKSHEET!H76</f>
        <v>59.99999999999999</v>
      </c>
      <c r="L48" s="107"/>
      <c r="M48" s="107">
        <f>WORKSHEET!I76</f>
        <v>65.7</v>
      </c>
      <c r="N48" s="107"/>
      <c r="O48" s="107">
        <f>WORKSHEET!J76</f>
        <v>71.39750000000002</v>
      </c>
      <c r="P48" s="107"/>
      <c r="Q48" s="107">
        <f>WORKSHEET!K76</f>
        <v>76.64440000000002</v>
      </c>
      <c r="R48" s="107"/>
      <c r="S48" s="108">
        <f>WORKSHEET!L76</f>
        <v>55.426140000000025</v>
      </c>
      <c r="T48" s="109"/>
      <c r="U48" s="107">
        <f>WORKSHEET!M76</f>
        <v>29.919851500000014</v>
      </c>
      <c r="V48" s="107"/>
      <c r="W48" s="109">
        <f>WORKSHEET!N76</f>
        <v>0</v>
      </c>
      <c r="X48" s="89"/>
      <c r="Y48" s="90"/>
    </row>
    <row r="49" spans="1:25" ht="12.75">
      <c r="A49" s="4" t="s">
        <v>38</v>
      </c>
      <c r="B49" t="s">
        <v>39</v>
      </c>
      <c r="I49" s="107">
        <f>WORKSHEET!G77</f>
        <v>299.1628371628372</v>
      </c>
      <c r="J49" s="107"/>
      <c r="K49" s="107">
        <f>WORKSHEET!H77</f>
        <v>329.0791208791209</v>
      </c>
      <c r="L49" s="107"/>
      <c r="M49" s="107">
        <f>WORKSHEET!I77</f>
        <v>351.08368411089754</v>
      </c>
      <c r="N49" s="107"/>
      <c r="O49" s="107">
        <f>WORKSHEET!J77</f>
        <v>368.31110031556193</v>
      </c>
      <c r="P49" s="107"/>
      <c r="Q49" s="107">
        <f>WORKSHEET!K77</f>
        <v>377.2572650394206</v>
      </c>
      <c r="R49" s="107"/>
      <c r="S49" s="108">
        <f>WORKSHEET!L77</f>
        <v>211.09122284307827</v>
      </c>
      <c r="T49" s="109"/>
      <c r="U49" s="107">
        <f>WORKSHEET!M77</f>
        <v>83.33863236206733</v>
      </c>
      <c r="V49" s="107"/>
      <c r="W49" s="109">
        <f>WORKSHEET!N77</f>
        <v>0</v>
      </c>
      <c r="X49" s="89"/>
      <c r="Y49" s="90"/>
    </row>
    <row r="50" spans="9:25" ht="12.75"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/>
      <c r="T50" s="109"/>
      <c r="U50" s="107"/>
      <c r="V50" s="107"/>
      <c r="W50" s="109"/>
      <c r="X50" s="89"/>
      <c r="Y50" s="90"/>
    </row>
    <row r="51" spans="9:25" ht="12.75"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8"/>
      <c r="T51" s="109"/>
      <c r="U51" s="107"/>
      <c r="V51" s="107"/>
      <c r="W51" s="109"/>
      <c r="X51" s="89"/>
      <c r="Y51" s="90"/>
    </row>
    <row r="52" spans="3:25" ht="12.75">
      <c r="C52" s="35" t="s">
        <v>40</v>
      </c>
      <c r="S52" s="54"/>
      <c r="T52" s="9"/>
      <c r="W52" s="9"/>
      <c r="X52" s="26"/>
      <c r="Y52" s="9"/>
    </row>
    <row r="53" spans="19:25" ht="12.75">
      <c r="S53" s="54"/>
      <c r="T53" s="9"/>
      <c r="W53" s="9"/>
      <c r="X53" s="26"/>
      <c r="Y53" s="9"/>
    </row>
    <row r="54" spans="1:25" ht="12.75">
      <c r="A54" s="4" t="s">
        <v>41</v>
      </c>
      <c r="B54" t="s">
        <v>42</v>
      </c>
      <c r="E54" s="6"/>
      <c r="F54" s="6"/>
      <c r="G54" s="6"/>
      <c r="H54" s="6"/>
      <c r="I54" s="107">
        <f>I23+I28</f>
        <v>121.00000000000003</v>
      </c>
      <c r="J54" s="107"/>
      <c r="K54" s="107">
        <f>K23+K28</f>
        <v>133.10000000000005</v>
      </c>
      <c r="L54" s="107"/>
      <c r="M54" s="107">
        <f>M23+M28</f>
        <v>144.41350000000006</v>
      </c>
      <c r="N54" s="107"/>
      <c r="O54" s="107">
        <f aca="true" t="shared" si="1" ref="O54:W54">O23+O28</f>
        <v>155.24451250000007</v>
      </c>
      <c r="P54" s="107"/>
      <c r="Q54" s="107">
        <f t="shared" si="1"/>
        <v>164.5591832500001</v>
      </c>
      <c r="R54" s="107"/>
      <c r="S54" s="108">
        <f t="shared" si="1"/>
        <v>0</v>
      </c>
      <c r="T54" s="109"/>
      <c r="U54" s="107">
        <f t="shared" si="1"/>
        <v>0</v>
      </c>
      <c r="V54" s="107"/>
      <c r="W54" s="109">
        <f t="shared" si="1"/>
        <v>0</v>
      </c>
      <c r="X54" s="89"/>
      <c r="Y54" s="90"/>
    </row>
    <row r="55" spans="1:25" ht="12.75">
      <c r="A55" s="4"/>
      <c r="E55" s="6"/>
      <c r="F55" s="6"/>
      <c r="G55" s="6"/>
      <c r="H55" s="6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8"/>
      <c r="T55" s="109"/>
      <c r="U55" s="107"/>
      <c r="V55" s="107"/>
      <c r="W55" s="109"/>
      <c r="X55" s="89"/>
      <c r="Y55" s="90"/>
    </row>
    <row r="56" spans="1:25" ht="12.75">
      <c r="A56" s="4" t="s">
        <v>43</v>
      </c>
      <c r="B56" t="s">
        <v>44</v>
      </c>
      <c r="E56" s="6"/>
      <c r="F56" s="6"/>
      <c r="G56" s="6"/>
      <c r="H56" s="6"/>
      <c r="I56" s="109">
        <f>WORKSHEET!G98</f>
        <v>144.4975024975025</v>
      </c>
      <c r="J56" s="109"/>
      <c r="K56" s="109">
        <f>WORKSHEET!H98</f>
        <v>158.94725274725278</v>
      </c>
      <c r="L56" s="109"/>
      <c r="M56" s="109">
        <f>WORKSHEET!I98</f>
        <v>163.9386291658426</v>
      </c>
      <c r="N56" s="109"/>
      <c r="O56" s="109">
        <f>WORKSHEET!J98</f>
        <v>170.18146007469414</v>
      </c>
      <c r="P56" s="109"/>
      <c r="Q56" s="109">
        <f>WORKSHEET!K98</f>
        <v>170.85621169706016</v>
      </c>
      <c r="R56" s="109"/>
      <c r="S56" s="108">
        <f>WORKSHEET!L98</f>
        <v>0</v>
      </c>
      <c r="T56" s="109"/>
      <c r="U56" s="109">
        <f>WORKSHEET!M98</f>
        <v>0</v>
      </c>
      <c r="V56" s="109"/>
      <c r="W56" s="109">
        <f>WORKSHEET!N98</f>
        <v>0</v>
      </c>
      <c r="X56" s="89"/>
      <c r="Y56" s="90"/>
    </row>
    <row r="57" spans="1:25" ht="12.75">
      <c r="A57" s="4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8"/>
      <c r="T57" s="109"/>
      <c r="U57" s="107"/>
      <c r="V57" s="107"/>
      <c r="W57" s="109"/>
      <c r="X57" s="89"/>
      <c r="Y57" s="90"/>
    </row>
    <row r="58" spans="1:25" ht="12.75">
      <c r="A58" s="4" t="s">
        <v>45</v>
      </c>
      <c r="B58" t="s">
        <v>46</v>
      </c>
      <c r="E58" s="9"/>
      <c r="F58" s="9"/>
      <c r="G58" s="9"/>
      <c r="H58" s="9"/>
      <c r="I58" s="111">
        <f aca="true" t="shared" si="2" ref="I58:W58">I56-I54</f>
        <v>23.497502497502467</v>
      </c>
      <c r="J58" s="111"/>
      <c r="K58" s="111">
        <f t="shared" si="2"/>
        <v>25.847252747252725</v>
      </c>
      <c r="L58" s="111"/>
      <c r="M58" s="111">
        <f t="shared" si="2"/>
        <v>19.525129165842543</v>
      </c>
      <c r="N58" s="111"/>
      <c r="O58" s="111">
        <f t="shared" si="2"/>
        <v>14.936947574694074</v>
      </c>
      <c r="P58" s="111"/>
      <c r="Q58" s="111">
        <f t="shared" si="2"/>
        <v>6.2970284470600575</v>
      </c>
      <c r="R58" s="111"/>
      <c r="S58" s="112">
        <f t="shared" si="2"/>
        <v>0</v>
      </c>
      <c r="T58" s="111"/>
      <c r="U58" s="111">
        <f t="shared" si="2"/>
        <v>0</v>
      </c>
      <c r="V58" s="111"/>
      <c r="W58" s="111">
        <f t="shared" si="2"/>
        <v>0</v>
      </c>
      <c r="X58" s="86"/>
      <c r="Y58" s="90"/>
    </row>
    <row r="59" spans="4:25" ht="12.75">
      <c r="D59" s="6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8"/>
      <c r="T59" s="109"/>
      <c r="U59" s="107"/>
      <c r="V59" s="107"/>
      <c r="W59" s="109"/>
      <c r="X59" s="89"/>
      <c r="Y59" s="90"/>
    </row>
    <row r="60" spans="1:25" ht="12.75">
      <c r="A60" s="4" t="s">
        <v>47</v>
      </c>
      <c r="B60" t="s">
        <v>48</v>
      </c>
      <c r="I60" s="107">
        <f>WORKSHEET!G102</f>
        <v>55.15727783381353</v>
      </c>
      <c r="J60" s="107"/>
      <c r="K60" s="107">
        <f>WORKSHEET!H102</f>
        <v>34.82575286994216</v>
      </c>
      <c r="L60" s="107"/>
      <c r="M60" s="107">
        <f>WORKSHEET!I102</f>
        <v>18.78319899109383</v>
      </c>
      <c r="N60" s="107"/>
      <c r="O60" s="107">
        <f>WORKSHEET!J102</f>
        <v>5.724571315509142</v>
      </c>
      <c r="P60" s="107"/>
      <c r="Q60" s="107">
        <f>WORKSHEET!K102</f>
        <v>0</v>
      </c>
      <c r="R60" s="107"/>
      <c r="S60" s="108">
        <f>WORKSHEET!L102</f>
        <v>0</v>
      </c>
      <c r="T60" s="109"/>
      <c r="U60" s="107">
        <f>WORKSHEET!M102</f>
        <v>0</v>
      </c>
      <c r="V60" s="107"/>
      <c r="W60" s="109">
        <f>WORKSHEET!N102</f>
        <v>0</v>
      </c>
      <c r="X60" s="89"/>
      <c r="Y60" s="90"/>
    </row>
    <row r="61" spans="1:25" ht="12.75">
      <c r="A61" s="4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/>
      <c r="T61" s="90"/>
      <c r="U61" s="87"/>
      <c r="V61" s="87"/>
      <c r="W61" s="90"/>
      <c r="X61" s="89"/>
      <c r="Y61" s="90"/>
    </row>
    <row r="62" spans="19:25" ht="12.75">
      <c r="S62" s="54"/>
      <c r="T62" s="9"/>
      <c r="W62" s="9"/>
      <c r="X62" s="26"/>
      <c r="Y62" s="9"/>
    </row>
    <row r="63" spans="1:25" ht="18">
      <c r="A63" s="38"/>
      <c r="B63" s="39" t="s">
        <v>49</v>
      </c>
      <c r="C63" s="39"/>
      <c r="D63" s="40"/>
      <c r="E63" s="41"/>
      <c r="F63" s="41"/>
      <c r="G63" s="41"/>
      <c r="H63" s="41"/>
      <c r="I63" s="115">
        <f aca="true" t="shared" si="3" ref="I63:W63">I49+I60</f>
        <v>354.3201149966507</v>
      </c>
      <c r="J63" s="115"/>
      <c r="K63" s="115">
        <f t="shared" si="3"/>
        <v>363.9048737490631</v>
      </c>
      <c r="L63" s="115"/>
      <c r="M63" s="115">
        <f t="shared" si="3"/>
        <v>369.8668831019914</v>
      </c>
      <c r="N63" s="115"/>
      <c r="O63" s="115">
        <f t="shared" si="3"/>
        <v>374.03567163107107</v>
      </c>
      <c r="P63" s="115"/>
      <c r="Q63" s="115">
        <f t="shared" si="3"/>
        <v>377.2572650394206</v>
      </c>
      <c r="R63" s="115"/>
      <c r="S63" s="114">
        <f t="shared" si="3"/>
        <v>211.09122284307827</v>
      </c>
      <c r="T63" s="113"/>
      <c r="U63" s="115">
        <f t="shared" si="3"/>
        <v>83.33863236206733</v>
      </c>
      <c r="V63" s="115"/>
      <c r="W63" s="113">
        <f t="shared" si="3"/>
        <v>0</v>
      </c>
      <c r="X63" s="42"/>
      <c r="Y63" s="46"/>
    </row>
    <row r="64" spans="2:25" ht="12.75">
      <c r="B64" s="4" t="s">
        <v>50</v>
      </c>
      <c r="S64" s="54"/>
      <c r="T64" s="9"/>
      <c r="W64" s="9"/>
      <c r="X64" s="26"/>
      <c r="Y64" s="9"/>
    </row>
    <row r="65" spans="19:25" ht="12.75">
      <c r="S65" s="54"/>
      <c r="T65" s="9"/>
      <c r="W65" s="9"/>
      <c r="X65" s="26"/>
      <c r="Y65" s="9"/>
    </row>
    <row r="66" spans="19:25" ht="12.75">
      <c r="S66" s="54"/>
      <c r="T66" s="9"/>
      <c r="W66" s="9"/>
      <c r="X66" s="26"/>
      <c r="Y66" s="9"/>
    </row>
    <row r="67" spans="1:25" ht="12.75">
      <c r="A67" s="4" t="s">
        <v>51</v>
      </c>
      <c r="B67" t="s">
        <v>52</v>
      </c>
      <c r="K67" s="93">
        <f>(K63+K30)/I63-1</f>
        <v>0.10000000000000009</v>
      </c>
      <c r="L67" s="93"/>
      <c r="M67" s="93">
        <f>(M63+M30)/K63-1</f>
        <v>0.10000000000000009</v>
      </c>
      <c r="N67" s="93"/>
      <c r="O67" s="93">
        <f>(O63+O30)/M63-1</f>
        <v>0.10000000000000009</v>
      </c>
      <c r="P67" s="93"/>
      <c r="Q67" s="93">
        <f>(Q63+Q30)/O63-1</f>
        <v>0.10000000000000009</v>
      </c>
      <c r="R67" s="26"/>
      <c r="S67" s="93">
        <f>(S63+S30)/Q63-1</f>
        <v>0.10000000000000009</v>
      </c>
      <c r="T67" s="93"/>
      <c r="U67" s="93">
        <f>(U63+U30)/S63-1</f>
        <v>0.10000000000000009</v>
      </c>
      <c r="V67" s="93"/>
      <c r="W67" s="93">
        <f>(W63+W30)/U63-1</f>
        <v>0.10000000000000031</v>
      </c>
      <c r="X67" s="63"/>
      <c r="Y67" s="93"/>
    </row>
    <row r="68" spans="2:25" ht="12.75">
      <c r="B68" t="s">
        <v>53</v>
      </c>
      <c r="S68" s="54"/>
      <c r="T68" s="9"/>
      <c r="W68" s="9"/>
      <c r="X68" s="26"/>
      <c r="Y68" s="9"/>
    </row>
    <row r="69" spans="19:24" ht="12.75">
      <c r="S69" s="54"/>
      <c r="W69" s="9"/>
      <c r="X69" s="26"/>
    </row>
    <row r="70" spans="1:24" ht="12.75">
      <c r="A70" t="s">
        <v>54</v>
      </c>
      <c r="B70" t="s">
        <v>55</v>
      </c>
      <c r="K70" s="116">
        <f>K60/K63</f>
        <v>0.09570015512888365</v>
      </c>
      <c r="M70" s="116">
        <f>M60/M63</f>
        <v>0.05078367339504233</v>
      </c>
      <c r="O70" s="116">
        <f>O60/O63</f>
        <v>0.015304880656290867</v>
      </c>
      <c r="Q70" s="116">
        <f>Q60/Q63</f>
        <v>0</v>
      </c>
      <c r="R70" s="26"/>
      <c r="S70" s="93">
        <f>S60/S63</f>
        <v>0</v>
      </c>
      <c r="U70" s="116">
        <f>U60/U63</f>
        <v>0</v>
      </c>
      <c r="W70" s="116"/>
      <c r="X70" s="26"/>
    </row>
    <row r="71" ht="12.75">
      <c r="B71" t="s">
        <v>56</v>
      </c>
    </row>
  </sheetData>
  <printOptions/>
  <pageMargins left="0.75" right="0.75" top="1" bottom="1" header="0.5" footer="0.5"/>
  <pageSetup fitToHeight="1" fitToWidth="1" horizontalDpi="300" verticalDpi="3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9"/>
  <sheetViews>
    <sheetView zoomScale="75" zoomScaleNormal="75" workbookViewId="0" topLeftCell="A1">
      <pane xSplit="4" ySplit="15" topLeftCell="E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E16" sqref="E16"/>
    </sheetView>
  </sheetViews>
  <sheetFormatPr defaultColWidth="9.140625" defaultRowHeight="12.75"/>
  <cols>
    <col min="1" max="1" width="6.140625" style="0" customWidth="1"/>
    <col min="2" max="2" width="4.421875" style="0" customWidth="1"/>
    <col min="4" max="4" width="30.8515625" style="0" customWidth="1"/>
    <col min="14" max="14" width="9.00390625" style="0" customWidth="1"/>
  </cols>
  <sheetData>
    <row r="1" spans="1:24" ht="23.25">
      <c r="A1" s="1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23.25">
      <c r="A2" s="34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4:5" ht="12.75">
      <c r="D4" t="s">
        <v>57</v>
      </c>
      <c r="E4">
        <v>3</v>
      </c>
    </row>
    <row r="5" spans="4:5" ht="12.75">
      <c r="D5" t="s">
        <v>58</v>
      </c>
      <c r="E5" s="5">
        <v>0.1</v>
      </c>
    </row>
    <row r="6" spans="4:5" ht="12.75">
      <c r="D6" t="s">
        <v>6</v>
      </c>
      <c r="E6" s="5">
        <v>0.1</v>
      </c>
    </row>
    <row r="7" spans="4:5" ht="12.75">
      <c r="D7" t="s">
        <v>59</v>
      </c>
      <c r="E7">
        <v>100</v>
      </c>
    </row>
    <row r="8" spans="4:5" ht="12.75">
      <c r="D8" s="4" t="s">
        <v>27</v>
      </c>
      <c r="E8" s="5">
        <v>0.2</v>
      </c>
    </row>
    <row r="9" spans="4:5" ht="12.75">
      <c r="D9" t="s">
        <v>60</v>
      </c>
      <c r="E9">
        <v>7</v>
      </c>
    </row>
    <row r="10" spans="4:5" ht="12.75">
      <c r="D10" t="s">
        <v>61</v>
      </c>
      <c r="E10">
        <f>E9+1</f>
        <v>8</v>
      </c>
    </row>
    <row r="11" spans="4:5" ht="12.75">
      <c r="D11" t="s">
        <v>62</v>
      </c>
      <c r="E11">
        <v>20</v>
      </c>
    </row>
    <row r="13" spans="5:20" ht="12.75">
      <c r="E13" s="22"/>
      <c r="F13" s="21"/>
      <c r="G13" s="21"/>
      <c r="H13" s="21"/>
      <c r="I13" s="47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4" ht="13.5" thickBot="1">
      <c r="A14" s="30"/>
      <c r="B14" s="30"/>
      <c r="C14" s="30"/>
      <c r="D14" s="30"/>
      <c r="E14" s="31">
        <v>1</v>
      </c>
      <c r="F14" s="32">
        <f>E14+1</f>
        <v>2</v>
      </c>
      <c r="G14" s="32">
        <f aca="true" t="shared" si="0" ref="G14:V14">F14+1</f>
        <v>3</v>
      </c>
      <c r="H14" s="32">
        <f t="shared" si="0"/>
        <v>4</v>
      </c>
      <c r="I14" s="32">
        <f t="shared" si="0"/>
        <v>5</v>
      </c>
      <c r="J14" s="32">
        <f t="shared" si="0"/>
        <v>6</v>
      </c>
      <c r="K14" s="32">
        <f t="shared" si="0"/>
        <v>7</v>
      </c>
      <c r="L14" s="32">
        <f t="shared" si="0"/>
        <v>8</v>
      </c>
      <c r="M14" s="32">
        <f t="shared" si="0"/>
        <v>9</v>
      </c>
      <c r="N14" s="32">
        <f t="shared" si="0"/>
        <v>10</v>
      </c>
      <c r="O14" s="32">
        <f t="shared" si="0"/>
        <v>11</v>
      </c>
      <c r="P14" s="32">
        <f t="shared" si="0"/>
        <v>12</v>
      </c>
      <c r="Q14" s="32">
        <f t="shared" si="0"/>
        <v>13</v>
      </c>
      <c r="R14" s="32">
        <f t="shared" si="0"/>
        <v>14</v>
      </c>
      <c r="S14" s="32">
        <f t="shared" si="0"/>
        <v>15</v>
      </c>
      <c r="T14" s="33">
        <f t="shared" si="0"/>
        <v>16</v>
      </c>
      <c r="U14" s="32">
        <f t="shared" si="0"/>
        <v>17</v>
      </c>
      <c r="V14" s="32">
        <f t="shared" si="0"/>
        <v>18</v>
      </c>
      <c r="W14" s="32">
        <f>V14+1</f>
        <v>19</v>
      </c>
      <c r="X14" s="32">
        <f>W14+1</f>
        <v>20</v>
      </c>
    </row>
    <row r="15" spans="5:24" ht="13.5" thickTop="1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4"/>
      <c r="U15" s="1"/>
      <c r="V15" s="1"/>
      <c r="W15" s="1"/>
      <c r="X15" s="1"/>
    </row>
    <row r="16" spans="1:24" ht="12.75">
      <c r="A16" s="4" t="s">
        <v>5</v>
      </c>
      <c r="B16" t="s">
        <v>6</v>
      </c>
      <c r="E16" s="9"/>
      <c r="F16" s="17">
        <f>IF(F14&lt;=$E9,$E6,"")</f>
        <v>0.1</v>
      </c>
      <c r="G16" s="17">
        <f>IF(G14&lt;=$E9,$E6,"")</f>
        <v>0.1</v>
      </c>
      <c r="H16" s="17">
        <f>IF(H14&lt;=$E9,$E6,"")</f>
        <v>0.1</v>
      </c>
      <c r="I16" s="17">
        <f>IF(I14&lt;=$E9,0.085,"")</f>
        <v>0.085</v>
      </c>
      <c r="J16" s="17">
        <f>IF(J14&lt;=$E9,0.075,"")</f>
        <v>0.075</v>
      </c>
      <c r="K16" s="17">
        <f>IF(K14&lt;=$E9,0.06,"")</f>
        <v>0.06</v>
      </c>
      <c r="L16" s="17">
        <f aca="true" t="shared" si="1" ref="L16:S16">IF(L14&lt;=$E9,$E6,"")</f>
      </c>
      <c r="M16" s="17">
        <f t="shared" si="1"/>
      </c>
      <c r="N16" s="17">
        <f t="shared" si="1"/>
      </c>
      <c r="O16" s="17">
        <f t="shared" si="1"/>
      </c>
      <c r="P16" s="17">
        <f t="shared" si="1"/>
      </c>
      <c r="Q16" s="17">
        <f t="shared" si="1"/>
      </c>
      <c r="R16" s="17">
        <f t="shared" si="1"/>
      </c>
      <c r="S16" s="17">
        <f t="shared" si="1"/>
      </c>
      <c r="T16" s="25">
        <f>IF(T14&lt;=$E9,$E6,"")</f>
      </c>
      <c r="U16" s="17">
        <f>IF(U14&lt;=$E9,$E6,"")</f>
      </c>
      <c r="V16" s="17">
        <f>IF(V14&lt;=$E9,$E6,"")</f>
      </c>
      <c r="W16" s="17">
        <f>IF(W14&lt;=$E9,$E6,"")</f>
      </c>
      <c r="X16" s="17">
        <f>IF(X14&lt;=$E9,$E6,"")</f>
      </c>
    </row>
    <row r="17" spans="1:24" ht="12.75">
      <c r="A17" s="4" t="s">
        <v>7</v>
      </c>
      <c r="B17" t="s">
        <v>8</v>
      </c>
      <c r="E17" s="5">
        <f>IF(E14&lt;=$E9,0.2,"")</f>
        <v>0.2</v>
      </c>
      <c r="F17" s="5">
        <f>IF(F14&lt;=$E9,E17,"")</f>
        <v>0.2</v>
      </c>
      <c r="G17" s="5">
        <f>IF(G14&lt;=$E9,F17,"")</f>
        <v>0.2</v>
      </c>
      <c r="H17" s="5">
        <f>IF(H14&lt;=$E9,G17,"")</f>
        <v>0.2</v>
      </c>
      <c r="I17" s="5">
        <f>IF(I14&lt;=$E9,0.17,"")</f>
        <v>0.17</v>
      </c>
      <c r="J17" s="5">
        <f>IF(J14&lt;=$E9,0.15,"")</f>
        <v>0.15</v>
      </c>
      <c r="K17" s="5">
        <f>IF(K14&lt;=$E9,0.12,"")</f>
        <v>0.12</v>
      </c>
      <c r="L17" s="5">
        <f>IF(L14&lt;=$E9,K17,"")</f>
      </c>
      <c r="M17" s="5">
        <f>IF(M14&lt;=$E9,L17,"")</f>
      </c>
      <c r="N17" s="5">
        <f aca="true" t="shared" si="2" ref="N17:S17">IF(N14&lt;=$E9,M17-0.01,"")</f>
      </c>
      <c r="O17" s="5">
        <f t="shared" si="2"/>
      </c>
      <c r="P17" s="5">
        <f t="shared" si="2"/>
      </c>
      <c r="Q17" s="5">
        <f t="shared" si="2"/>
      </c>
      <c r="R17" s="5">
        <f t="shared" si="2"/>
      </c>
      <c r="S17" s="5">
        <f t="shared" si="2"/>
      </c>
      <c r="T17" s="25">
        <f>IF(T14&lt;=$E9,S17-0.01,"")</f>
      </c>
      <c r="U17" s="5">
        <f>IF(U14&lt;=$E9,$E5,"")</f>
      </c>
      <c r="V17" s="5">
        <f>IF(V14&lt;=$E9,$E5,"")</f>
      </c>
      <c r="W17" s="5">
        <f>IF(W14&lt;=$E9,$E5,"")</f>
      </c>
      <c r="X17" s="5">
        <f>IF(X14&lt;=$E9,$E5,"")</f>
      </c>
    </row>
    <row r="18" ht="12.75">
      <c r="T18" s="26"/>
    </row>
    <row r="19" spans="1:20" ht="12.75">
      <c r="A19" s="4"/>
      <c r="B19" s="2" t="s">
        <v>9</v>
      </c>
      <c r="C19" s="2"/>
      <c r="T19" s="26"/>
    </row>
    <row r="20" ht="12.75">
      <c r="T20" s="26"/>
    </row>
    <row r="21" spans="2:26" ht="12.75">
      <c r="B21">
        <v>1</v>
      </c>
      <c r="F21" s="6">
        <f>IF($B21&lt;=$E$9,PMT(E$17,$E$4,-E$40-E$45,E$40),0)</f>
        <v>41.978021978021985</v>
      </c>
      <c r="G21" s="6">
        <f aca="true" t="shared" si="3" ref="G21:P21">IF($E4&gt;=F14,F21,"")</f>
        <v>41.978021978021985</v>
      </c>
      <c r="H21" s="6">
        <f t="shared" si="3"/>
        <v>41.978021978021985</v>
      </c>
      <c r="I21" s="6">
        <f t="shared" si="3"/>
      </c>
      <c r="J21" s="6">
        <f t="shared" si="3"/>
      </c>
      <c r="K21" s="6">
        <f t="shared" si="3"/>
      </c>
      <c r="L21" s="6">
        <f t="shared" si="3"/>
      </c>
      <c r="M21" s="6">
        <f t="shared" si="3"/>
      </c>
      <c r="N21" s="6">
        <f t="shared" si="3"/>
      </c>
      <c r="O21" s="6">
        <f t="shared" si="3"/>
      </c>
      <c r="P21" s="6">
        <f t="shared" si="3"/>
      </c>
      <c r="Q21" s="6">
        <f aca="true" t="shared" si="4" ref="Q21:Y21">IF($E4&gt;=P14,P21,"")</f>
      </c>
      <c r="R21" s="6">
        <f t="shared" si="4"/>
      </c>
      <c r="S21" s="6">
        <f t="shared" si="4"/>
      </c>
      <c r="T21" s="27">
        <f t="shared" si="4"/>
      </c>
      <c r="U21" s="6">
        <f t="shared" si="4"/>
      </c>
      <c r="V21" s="6">
        <f t="shared" si="4"/>
      </c>
      <c r="W21" s="6">
        <f t="shared" si="4"/>
      </c>
      <c r="X21" s="6">
        <f t="shared" si="4"/>
      </c>
      <c r="Y21" s="6">
        <f t="shared" si="4"/>
      </c>
      <c r="Z21" s="6"/>
    </row>
    <row r="22" spans="2:26" ht="12.75">
      <c r="B22">
        <f>+B21+1</f>
        <v>2</v>
      </c>
      <c r="F22" s="6"/>
      <c r="G22" s="6">
        <f>IF($B22&lt;=$E$9,PMT(F$17,$E$4,-F$40-F$45,F$40),0)</f>
        <v>46.17582417582418</v>
      </c>
      <c r="H22" s="6">
        <f aca="true" t="shared" si="5" ref="H22:Q22">IF(G$14-$B22&lt;$E$4,G22,"")</f>
        <v>46.17582417582418</v>
      </c>
      <c r="I22" s="6">
        <f t="shared" si="5"/>
        <v>46.17582417582418</v>
      </c>
      <c r="J22" s="6">
        <f t="shared" si="5"/>
      </c>
      <c r="K22" s="6">
        <f t="shared" si="5"/>
      </c>
      <c r="L22" s="6">
        <f t="shared" si="5"/>
      </c>
      <c r="M22" s="6">
        <f t="shared" si="5"/>
      </c>
      <c r="N22" s="6">
        <f t="shared" si="5"/>
      </c>
      <c r="O22" s="6">
        <f t="shared" si="5"/>
      </c>
      <c r="P22" s="6">
        <f t="shared" si="5"/>
      </c>
      <c r="Q22" s="6">
        <f t="shared" si="5"/>
      </c>
      <c r="R22" s="6">
        <f aca="true" t="shared" si="6" ref="R22:Y22">IF(Q$14-$B22&lt;$E$4,Q22,"")</f>
      </c>
      <c r="S22" s="6">
        <f t="shared" si="6"/>
      </c>
      <c r="T22" s="27">
        <f t="shared" si="6"/>
      </c>
      <c r="U22" s="6">
        <f t="shared" si="6"/>
      </c>
      <c r="V22" s="6">
        <f t="shared" si="6"/>
      </c>
      <c r="W22" s="6">
        <f t="shared" si="6"/>
      </c>
      <c r="X22" s="6">
        <f t="shared" si="6"/>
      </c>
      <c r="Y22" s="6">
        <f t="shared" si="6"/>
      </c>
      <c r="Z22" s="6"/>
    </row>
    <row r="23" spans="2:26" ht="12.75">
      <c r="B23">
        <f aca="true" t="shared" si="7" ref="B23:B35">+B22+1</f>
        <v>3</v>
      </c>
      <c r="F23" s="6"/>
      <c r="G23" s="6"/>
      <c r="H23" s="6">
        <f>IF($B23&lt;=$E$9,PMT(G$17,$E$4,-G$40-G$45,G$40),0)</f>
        <v>50.79340659340661</v>
      </c>
      <c r="I23" s="6">
        <f aca="true" t="shared" si="8" ref="I23:R23">IF(H$14-$B23&lt;$E$4,H23,"")</f>
        <v>50.79340659340661</v>
      </c>
      <c r="J23" s="6">
        <f t="shared" si="8"/>
        <v>50.79340659340661</v>
      </c>
      <c r="K23" s="6">
        <f t="shared" si="8"/>
      </c>
      <c r="L23" s="6">
        <f t="shared" si="8"/>
      </c>
      <c r="M23" s="6">
        <f t="shared" si="8"/>
      </c>
      <c r="N23" s="6">
        <f t="shared" si="8"/>
      </c>
      <c r="O23" s="6">
        <f t="shared" si="8"/>
      </c>
      <c r="P23" s="6">
        <f t="shared" si="8"/>
      </c>
      <c r="Q23" s="6">
        <f t="shared" si="8"/>
      </c>
      <c r="R23" s="6">
        <f t="shared" si="8"/>
      </c>
      <c r="S23" s="6">
        <f aca="true" t="shared" si="9" ref="S23:Y23">IF(R$14-$B23&lt;$E$4,R23,"")</f>
      </c>
      <c r="T23" s="27">
        <f t="shared" si="9"/>
      </c>
      <c r="U23" s="6">
        <f t="shared" si="9"/>
      </c>
      <c r="V23" s="6">
        <f t="shared" si="9"/>
      </c>
      <c r="W23" s="6">
        <f t="shared" si="9"/>
      </c>
      <c r="X23" s="6">
        <f t="shared" si="9"/>
      </c>
      <c r="Y23" s="6">
        <f t="shared" si="9"/>
      </c>
      <c r="Z23" s="6"/>
    </row>
    <row r="24" spans="2:26" ht="12.75">
      <c r="B24">
        <f t="shared" si="7"/>
        <v>4</v>
      </c>
      <c r="F24" s="6"/>
      <c r="G24" s="6"/>
      <c r="H24" s="6"/>
      <c r="I24" s="6">
        <f>IF($B24&lt;=$E$9,PMT(H$17,$E$4,-H$40-H$45,H$40),0)</f>
        <v>55.87274725274728</v>
      </c>
      <c r="J24" s="6">
        <f aca="true" t="shared" si="10" ref="J24:Y24">IF(I$14-$B24&lt;$E$4,I24,"")</f>
        <v>55.87274725274728</v>
      </c>
      <c r="K24" s="6">
        <f t="shared" si="10"/>
        <v>55.87274725274728</v>
      </c>
      <c r="L24" s="6">
        <f t="shared" si="10"/>
      </c>
      <c r="M24" s="6">
        <f t="shared" si="10"/>
      </c>
      <c r="N24" s="6">
        <f t="shared" si="10"/>
      </c>
      <c r="O24" s="6">
        <f t="shared" si="10"/>
      </c>
      <c r="P24" s="6">
        <f t="shared" si="10"/>
      </c>
      <c r="Q24" s="6">
        <f t="shared" si="10"/>
      </c>
      <c r="R24" s="6">
        <f t="shared" si="10"/>
      </c>
      <c r="S24" s="6">
        <f t="shared" si="10"/>
      </c>
      <c r="T24" s="27">
        <f t="shared" si="10"/>
      </c>
      <c r="U24" s="6">
        <f t="shared" si="10"/>
      </c>
      <c r="V24" s="6">
        <f t="shared" si="10"/>
      </c>
      <c r="W24" s="6">
        <f t="shared" si="10"/>
      </c>
      <c r="X24" s="6">
        <f t="shared" si="10"/>
      </c>
      <c r="Y24" s="6">
        <f t="shared" si="10"/>
      </c>
      <c r="Z24" s="6"/>
    </row>
    <row r="25" spans="2:26" ht="12.75">
      <c r="B25">
        <f t="shared" si="7"/>
        <v>5</v>
      </c>
      <c r="F25" s="6"/>
      <c r="G25" s="6"/>
      <c r="H25" s="6"/>
      <c r="I25" s="6"/>
      <c r="J25" s="6">
        <f>IF($B25&lt;=$E$9,PMT(I$17,$E$4,-I$40-I$45,I$40),0)</f>
        <v>57.19625843496571</v>
      </c>
      <c r="K25" s="6">
        <f aca="true" t="shared" si="11" ref="K25:Y25">IF(J$14-$B25&lt;$E$4,J25,"")</f>
        <v>57.19625843496571</v>
      </c>
      <c r="L25" s="6">
        <f t="shared" si="11"/>
        <v>57.19625843496571</v>
      </c>
      <c r="M25" s="6">
        <f t="shared" si="11"/>
      </c>
      <c r="N25" s="6">
        <f t="shared" si="11"/>
      </c>
      <c r="O25" s="6">
        <f t="shared" si="11"/>
      </c>
      <c r="P25" s="6">
        <f t="shared" si="11"/>
      </c>
      <c r="Q25" s="6">
        <f t="shared" si="11"/>
      </c>
      <c r="R25" s="6">
        <f t="shared" si="11"/>
      </c>
      <c r="S25" s="6">
        <f t="shared" si="11"/>
      </c>
      <c r="T25" s="27">
        <f t="shared" si="11"/>
      </c>
      <c r="U25" s="6">
        <f t="shared" si="11"/>
      </c>
      <c r="V25" s="6">
        <f t="shared" si="11"/>
      </c>
      <c r="W25" s="6">
        <f t="shared" si="11"/>
      </c>
      <c r="X25" s="6">
        <f t="shared" si="11"/>
      </c>
      <c r="Y25" s="6">
        <f t="shared" si="11"/>
      </c>
      <c r="Z25" s="6"/>
    </row>
    <row r="26" spans="2:26" ht="12.75">
      <c r="B26">
        <f t="shared" si="7"/>
        <v>6</v>
      </c>
      <c r="F26" s="6"/>
      <c r="G26" s="6"/>
      <c r="H26" s="6"/>
      <c r="I26" s="6"/>
      <c r="J26" s="6"/>
      <c r="K26" s="6">
        <f>IF($B26&lt;=$E$9,PMT(J$17,$E$4,-J$40-J$45,J$40),0)</f>
        <v>59.05215131704469</v>
      </c>
      <c r="L26" s="6">
        <f aca="true" t="shared" si="12" ref="L26:Y26">IF(K$14-$B26&lt;$E$4,K26,"")</f>
        <v>59.05215131704469</v>
      </c>
      <c r="M26" s="6">
        <f t="shared" si="12"/>
        <v>59.05215131704469</v>
      </c>
      <c r="N26" s="6">
        <f t="shared" si="12"/>
      </c>
      <c r="O26" s="6">
        <f t="shared" si="12"/>
      </c>
      <c r="P26" s="6">
        <f t="shared" si="12"/>
      </c>
      <c r="Q26" s="6">
        <f t="shared" si="12"/>
      </c>
      <c r="R26" s="6">
        <f t="shared" si="12"/>
      </c>
      <c r="S26" s="6">
        <f t="shared" si="12"/>
      </c>
      <c r="T26" s="27">
        <f t="shared" si="12"/>
      </c>
      <c r="U26" s="6">
        <f t="shared" si="12"/>
      </c>
      <c r="V26" s="6">
        <f t="shared" si="12"/>
      </c>
      <c r="W26" s="6">
        <f t="shared" si="12"/>
      </c>
      <c r="X26" s="6">
        <f t="shared" si="12"/>
      </c>
      <c r="Y26" s="6">
        <f t="shared" si="12"/>
      </c>
      <c r="Z26" s="6"/>
    </row>
    <row r="27" spans="2:26" ht="12.75">
      <c r="B27">
        <f t="shared" si="7"/>
        <v>7</v>
      </c>
      <c r="F27" s="6"/>
      <c r="G27" s="6"/>
      <c r="H27" s="6"/>
      <c r="I27" s="6"/>
      <c r="J27" s="6"/>
      <c r="K27" s="6"/>
      <c r="L27" s="6">
        <f>IF($B27&lt;=$E$9,PMT(K$17,$E$4,-K$40-K$45,K$40),0)</f>
        <v>58.760658948274056</v>
      </c>
      <c r="M27" s="6">
        <f aca="true" t="shared" si="13" ref="M27:Y27">IF(L$14-$B27&lt;$E$4,L27,"")</f>
        <v>58.760658948274056</v>
      </c>
      <c r="N27" s="6">
        <f t="shared" si="13"/>
        <v>58.760658948274056</v>
      </c>
      <c r="O27" s="6">
        <f t="shared" si="13"/>
      </c>
      <c r="P27" s="6">
        <f t="shared" si="13"/>
      </c>
      <c r="Q27" s="6">
        <f t="shared" si="13"/>
      </c>
      <c r="R27" s="6">
        <f t="shared" si="13"/>
      </c>
      <c r="S27" s="6">
        <f t="shared" si="13"/>
      </c>
      <c r="T27" s="27">
        <f t="shared" si="13"/>
      </c>
      <c r="U27" s="6">
        <f t="shared" si="13"/>
      </c>
      <c r="V27" s="6">
        <f t="shared" si="13"/>
      </c>
      <c r="W27" s="6">
        <f t="shared" si="13"/>
      </c>
      <c r="X27" s="6">
        <f t="shared" si="13"/>
      </c>
      <c r="Y27" s="6">
        <f t="shared" si="13"/>
      </c>
      <c r="Z27" s="6"/>
    </row>
    <row r="28" spans="2:26" ht="12.75">
      <c r="B28">
        <f t="shared" si="7"/>
        <v>8</v>
      </c>
      <c r="F28" s="6"/>
      <c r="G28" s="6"/>
      <c r="H28" s="6"/>
      <c r="I28" s="6"/>
      <c r="J28" s="6"/>
      <c r="K28" s="6"/>
      <c r="L28" s="6"/>
      <c r="M28" s="6">
        <f>IF($B28&lt;=$E$9,PMT(L$17,$E$4,-L$40-L$45,L$40),0)</f>
        <v>0</v>
      </c>
      <c r="N28" s="6">
        <f aca="true" t="shared" si="14" ref="N28:Y28">IF(M$14-$B28&lt;$E$4,M28,"")</f>
        <v>0</v>
      </c>
      <c r="O28" s="6">
        <f t="shared" si="14"/>
        <v>0</v>
      </c>
      <c r="P28" s="6">
        <f t="shared" si="14"/>
      </c>
      <c r="Q28" s="6">
        <f t="shared" si="14"/>
      </c>
      <c r="R28" s="6">
        <f t="shared" si="14"/>
      </c>
      <c r="S28" s="6">
        <f t="shared" si="14"/>
      </c>
      <c r="T28" s="27">
        <f t="shared" si="14"/>
      </c>
      <c r="U28" s="6">
        <f t="shared" si="14"/>
      </c>
      <c r="V28" s="6">
        <f t="shared" si="14"/>
      </c>
      <c r="W28" s="6">
        <f t="shared" si="14"/>
      </c>
      <c r="X28" s="6">
        <f t="shared" si="14"/>
      </c>
      <c r="Y28" s="6">
        <f t="shared" si="14"/>
      </c>
      <c r="Z28" s="6"/>
    </row>
    <row r="29" spans="2:26" ht="12.75">
      <c r="B29">
        <f t="shared" si="7"/>
        <v>9</v>
      </c>
      <c r="F29" s="6"/>
      <c r="G29" s="6"/>
      <c r="H29" s="6"/>
      <c r="I29" s="6"/>
      <c r="J29" s="6"/>
      <c r="K29" s="6"/>
      <c r="L29" s="6"/>
      <c r="M29" s="6"/>
      <c r="N29" s="6">
        <f>IF($B29&lt;=$E$9,PMT(M$17,$E$4,-M$40-M$45,M$40),0)</f>
        <v>0</v>
      </c>
      <c r="O29" s="6">
        <f aca="true" t="shared" si="15" ref="O29:Y29">IF(N$14-$B29&lt;$E$4,N29,"")</f>
        <v>0</v>
      </c>
      <c r="P29" s="6">
        <f t="shared" si="15"/>
        <v>0</v>
      </c>
      <c r="Q29" s="6">
        <f t="shared" si="15"/>
      </c>
      <c r="R29" s="6">
        <f t="shared" si="15"/>
      </c>
      <c r="S29" s="6">
        <f t="shared" si="15"/>
      </c>
      <c r="T29" s="27">
        <f t="shared" si="15"/>
      </c>
      <c r="U29" s="6">
        <f t="shared" si="15"/>
      </c>
      <c r="V29" s="6">
        <f t="shared" si="15"/>
      </c>
      <c r="W29" s="6">
        <f t="shared" si="15"/>
      </c>
      <c r="X29" s="6">
        <f t="shared" si="15"/>
      </c>
      <c r="Y29" s="6">
        <f t="shared" si="15"/>
      </c>
      <c r="Z29" s="6"/>
    </row>
    <row r="30" spans="2:26" ht="12.75">
      <c r="B30">
        <f t="shared" si="7"/>
        <v>10</v>
      </c>
      <c r="F30" s="6"/>
      <c r="G30" s="6"/>
      <c r="H30" s="6"/>
      <c r="I30" s="6"/>
      <c r="J30" s="6"/>
      <c r="K30" s="6"/>
      <c r="L30" s="6"/>
      <c r="M30" s="6"/>
      <c r="N30" s="6"/>
      <c r="O30" s="6">
        <f>IF($B30&lt;=$E$9,PMT(N$17,$E$4,-N$40-N$45,N$40),0)</f>
        <v>0</v>
      </c>
      <c r="P30" s="6">
        <f aca="true" t="shared" si="16" ref="P30:Y30">IF(O$14-$B30&lt;$E$4,O30,"")</f>
        <v>0</v>
      </c>
      <c r="Q30" s="6">
        <f t="shared" si="16"/>
        <v>0</v>
      </c>
      <c r="R30" s="6">
        <f t="shared" si="16"/>
      </c>
      <c r="S30" s="6">
        <f t="shared" si="16"/>
      </c>
      <c r="T30" s="27">
        <f t="shared" si="16"/>
      </c>
      <c r="U30" s="6">
        <f t="shared" si="16"/>
      </c>
      <c r="V30" s="6">
        <f t="shared" si="16"/>
      </c>
      <c r="W30" s="6">
        <f t="shared" si="16"/>
      </c>
      <c r="X30" s="6">
        <f t="shared" si="16"/>
      </c>
      <c r="Y30" s="6">
        <f t="shared" si="16"/>
      </c>
      <c r="Z30" s="6"/>
    </row>
    <row r="31" spans="2:26" ht="12.75">
      <c r="B31">
        <f t="shared" si="7"/>
        <v>11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>
        <f>IF($B31&lt;=$E$9,PMT(O$17,$E$4,-O$40-O$45,O$40),0)</f>
        <v>0</v>
      </c>
      <c r="Q31" s="6">
        <f aca="true" t="shared" si="17" ref="Q31:Y31">IF(P$14-$B31&lt;$E$4,P31,"")</f>
        <v>0</v>
      </c>
      <c r="R31" s="6">
        <f t="shared" si="17"/>
        <v>0</v>
      </c>
      <c r="S31" s="6">
        <f t="shared" si="17"/>
      </c>
      <c r="T31" s="27">
        <f t="shared" si="17"/>
      </c>
      <c r="U31" s="6">
        <f t="shared" si="17"/>
      </c>
      <c r="V31" s="6">
        <f t="shared" si="17"/>
      </c>
      <c r="W31" s="6">
        <f t="shared" si="17"/>
      </c>
      <c r="X31" s="6">
        <f t="shared" si="17"/>
      </c>
      <c r="Y31" s="6">
        <f t="shared" si="17"/>
      </c>
      <c r="Z31" s="6"/>
    </row>
    <row r="32" spans="2:26" ht="12.75">
      <c r="B32">
        <f t="shared" si="7"/>
        <v>12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f>IF($B32&lt;=$E$9,PMT(P$17,$E$4,-P$40-P$45,P$40),0)</f>
        <v>0</v>
      </c>
      <c r="R32" s="6">
        <f aca="true" t="shared" si="18" ref="R32:Y32">IF(Q$14-$B32&lt;$E$4,Q32,"")</f>
        <v>0</v>
      </c>
      <c r="S32" s="6">
        <f t="shared" si="18"/>
        <v>0</v>
      </c>
      <c r="T32" s="27">
        <f t="shared" si="18"/>
      </c>
      <c r="U32" s="6">
        <f t="shared" si="18"/>
      </c>
      <c r="V32" s="6">
        <f t="shared" si="18"/>
      </c>
      <c r="W32" s="6">
        <f t="shared" si="18"/>
      </c>
      <c r="X32" s="6">
        <f t="shared" si="18"/>
      </c>
      <c r="Y32" s="6">
        <f t="shared" si="18"/>
      </c>
      <c r="Z32" s="6"/>
    </row>
    <row r="33" spans="2:26" ht="12.75">
      <c r="B33">
        <f t="shared" si="7"/>
        <v>13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f>IF($B33&lt;=$E$9,PMT(Q$17,$E$4,-Q$40-Q$45,Q$40),0)</f>
        <v>0</v>
      </c>
      <c r="S33" s="6">
        <f aca="true" t="shared" si="19" ref="S33:Y33">IF(R$14-$B33&lt;$E$4,R33,"")</f>
        <v>0</v>
      </c>
      <c r="T33" s="27">
        <f t="shared" si="19"/>
        <v>0</v>
      </c>
      <c r="U33" s="6">
        <f t="shared" si="19"/>
      </c>
      <c r="V33" s="6">
        <f t="shared" si="19"/>
      </c>
      <c r="W33" s="6">
        <f t="shared" si="19"/>
      </c>
      <c r="X33" s="6">
        <f t="shared" si="19"/>
      </c>
      <c r="Y33" s="6">
        <f t="shared" si="19"/>
      </c>
      <c r="Z33" s="6"/>
    </row>
    <row r="34" spans="2:26" ht="12.75">
      <c r="B34">
        <f t="shared" si="7"/>
        <v>14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>
        <f>IF($B34&lt;=$E$9,PMT(R$17,$E$4,-R$40-R$45,R$40),0)</f>
        <v>0</v>
      </c>
      <c r="T34" s="27">
        <f aca="true" t="shared" si="20" ref="T34:Y34">IF(S$14-$B34&lt;$E$4,S34,"")</f>
        <v>0</v>
      </c>
      <c r="U34" s="6">
        <f t="shared" si="20"/>
        <v>0</v>
      </c>
      <c r="V34" s="6">
        <f t="shared" si="20"/>
      </c>
      <c r="W34" s="6">
        <f t="shared" si="20"/>
      </c>
      <c r="X34" s="6">
        <f t="shared" si="20"/>
      </c>
      <c r="Y34" s="6">
        <f t="shared" si="20"/>
      </c>
      <c r="Z34" s="6"/>
    </row>
    <row r="35" spans="2:26" ht="12.75">
      <c r="B35">
        <f t="shared" si="7"/>
        <v>15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27">
        <f>IF($B35&lt;=$E$9,PMT(S$17,$E$4,-S$40-S$45,S$40),0)</f>
        <v>0</v>
      </c>
      <c r="U35" s="6">
        <f>IF(T$14-$B35&lt;$E$4,T35,"")</f>
        <v>0</v>
      </c>
      <c r="V35" s="6">
        <f>IF(U$14-$B35&lt;$E$4,U35,"")</f>
        <v>0</v>
      </c>
      <c r="W35" s="6">
        <f>IF(V$14-$B35&lt;$E$4,V35,"")</f>
      </c>
      <c r="X35" s="6">
        <f>IF(W$14-$B35&lt;$E$4,W35,"")</f>
      </c>
      <c r="Y35" s="6">
        <f>IF(X$14-$B35&lt;$E$4,X35,"")</f>
      </c>
      <c r="Z35" s="6"/>
    </row>
    <row r="36" spans="2:26" ht="12.75">
      <c r="B36">
        <f>+B35+1</f>
        <v>16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27"/>
      <c r="U36" s="6">
        <f>IF($B36&lt;=$E$9,PMT(T$17,$E$4,-T$40-T$45,T$40),0)</f>
        <v>0</v>
      </c>
      <c r="V36" s="6">
        <f>IF(U$14-$B36&lt;$E$4,U36,"")</f>
        <v>0</v>
      </c>
      <c r="W36" s="6">
        <f>IF(V$14-$B36&lt;$E$4,V36,"")</f>
        <v>0</v>
      </c>
      <c r="X36" s="6">
        <f>IF(W$14-$B36&lt;$E$4,W36,"")</f>
      </c>
      <c r="Y36" s="6">
        <f>IF(X$14-$B36&lt;$E$4,X36,"")</f>
      </c>
      <c r="Z36" s="6"/>
    </row>
    <row r="37" spans="5:24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8"/>
      <c r="U37" s="3"/>
      <c r="V37" s="3"/>
      <c r="W37" s="3"/>
      <c r="X37" s="3"/>
    </row>
    <row r="38" spans="1:24" ht="12.75">
      <c r="A38" s="4" t="s">
        <v>10</v>
      </c>
      <c r="B38" t="s">
        <v>11</v>
      </c>
      <c r="E38" s="6">
        <f>SUM(E21:E36)</f>
        <v>0</v>
      </c>
      <c r="F38" s="6">
        <f>SUM(F21:F36)</f>
        <v>41.978021978021985</v>
      </c>
      <c r="G38" s="6">
        <f aca="true" t="shared" si="21" ref="G38:U38">SUM(G21:G36)</f>
        <v>88.15384615384616</v>
      </c>
      <c r="H38" s="6">
        <f t="shared" si="21"/>
        <v>138.94725274725278</v>
      </c>
      <c r="I38" s="6">
        <f t="shared" si="21"/>
        <v>152.84197802197806</v>
      </c>
      <c r="J38" s="6">
        <f t="shared" si="21"/>
        <v>163.8624122811196</v>
      </c>
      <c r="K38" s="6">
        <f t="shared" si="21"/>
        <v>172.1211570047577</v>
      </c>
      <c r="L38" s="6">
        <f t="shared" si="21"/>
        <v>175.00906870028444</v>
      </c>
      <c r="M38" s="6">
        <f t="shared" si="21"/>
        <v>117.81281026531875</v>
      </c>
      <c r="N38" s="6">
        <f t="shared" si="21"/>
        <v>58.760658948274056</v>
      </c>
      <c r="O38" s="6">
        <f t="shared" si="21"/>
        <v>0</v>
      </c>
      <c r="P38" s="6">
        <f t="shared" si="21"/>
        <v>0</v>
      </c>
      <c r="Q38" s="6">
        <f t="shared" si="21"/>
        <v>0</v>
      </c>
      <c r="R38" s="6">
        <f t="shared" si="21"/>
        <v>0</v>
      </c>
      <c r="S38" s="6">
        <f t="shared" si="21"/>
        <v>0</v>
      </c>
      <c r="T38" s="27">
        <f t="shared" si="21"/>
        <v>0</v>
      </c>
      <c r="U38" s="6">
        <f t="shared" si="21"/>
        <v>0</v>
      </c>
      <c r="V38" s="6">
        <f>SUM(V21:V36)</f>
        <v>0</v>
      </c>
      <c r="W38" s="6">
        <f>SUM(W21:W36)</f>
        <v>0</v>
      </c>
      <c r="X38" s="6">
        <f>SUM(X21:X36)</f>
        <v>0</v>
      </c>
    </row>
    <row r="39" ht="12.75">
      <c r="T39" s="26"/>
    </row>
    <row r="40" spans="1:24" ht="12.75">
      <c r="A40" s="4" t="s">
        <v>12</v>
      </c>
      <c r="B40" t="s">
        <v>13</v>
      </c>
      <c r="E40">
        <f>E7*E8</f>
        <v>20</v>
      </c>
      <c r="F40">
        <f>IF(F14&lt;=$E9,(E40+E45)*$E8*(1+F16),0)</f>
        <v>22</v>
      </c>
      <c r="G40" s="6">
        <f aca="true" t="shared" si="22" ref="G40:V40">IF(G14&lt;=$E9,(F40+F45)*$E8*(1+G16),0)</f>
        <v>24.200000000000006</v>
      </c>
      <c r="H40" s="6">
        <f t="shared" si="22"/>
        <v>26.620000000000008</v>
      </c>
      <c r="I40" s="6">
        <f t="shared" si="22"/>
        <v>28.88270000000001</v>
      </c>
      <c r="J40" s="6">
        <f t="shared" si="22"/>
        <v>31.048902500000015</v>
      </c>
      <c r="K40" s="6">
        <f t="shared" si="22"/>
        <v>32.91183665000002</v>
      </c>
      <c r="L40" s="6">
        <f t="shared" si="22"/>
        <v>0</v>
      </c>
      <c r="M40" s="6">
        <f t="shared" si="22"/>
        <v>0</v>
      </c>
      <c r="N40" s="6">
        <f t="shared" si="22"/>
        <v>0</v>
      </c>
      <c r="O40" s="6">
        <f t="shared" si="22"/>
        <v>0</v>
      </c>
      <c r="P40" s="6">
        <f t="shared" si="22"/>
        <v>0</v>
      </c>
      <c r="Q40" s="6">
        <f t="shared" si="22"/>
        <v>0</v>
      </c>
      <c r="R40" s="6">
        <f t="shared" si="22"/>
        <v>0</v>
      </c>
      <c r="S40" s="6">
        <f t="shared" si="22"/>
        <v>0</v>
      </c>
      <c r="T40" s="27">
        <f t="shared" si="22"/>
        <v>0</v>
      </c>
      <c r="U40" s="6">
        <f t="shared" si="22"/>
        <v>0</v>
      </c>
      <c r="V40" s="6">
        <f t="shared" si="22"/>
        <v>0</v>
      </c>
      <c r="W40" s="6">
        <f>IF(W14&lt;=$E9,(V40+V45)*$E8*(1+W16),0)</f>
        <v>0</v>
      </c>
      <c r="X40" s="6">
        <f>IF(X14&lt;=$E9,(W40+W45)*$E8*(1+X16),0)</f>
        <v>0</v>
      </c>
    </row>
    <row r="41" spans="1:24" ht="12.75">
      <c r="A41" s="4" t="s">
        <v>14</v>
      </c>
      <c r="B41" t="s">
        <v>15</v>
      </c>
      <c r="G41" s="6"/>
      <c r="H41" s="6">
        <f>IF(E4=3,E40,0)</f>
        <v>20</v>
      </c>
      <c r="I41" s="6">
        <f>IF(E4=3,F40,IF(E4=4,E40,0))</f>
        <v>22</v>
      </c>
      <c r="J41" s="6">
        <f>IF($E4=3,G40,IF($E4=4,F40,IF($E4=5,E40)))</f>
        <v>24.200000000000006</v>
      </c>
      <c r="K41" s="6">
        <f>IF($E4=3,H40,IF($E4=4,G40,IF($E4=5,F40)))</f>
        <v>26.620000000000008</v>
      </c>
      <c r="L41" s="6">
        <f aca="true" t="shared" si="23" ref="L41:X41">IF($E4=3,I40,IF($E4=4,H40,IF($E4=5,G40)))</f>
        <v>28.88270000000001</v>
      </c>
      <c r="M41" s="6">
        <f t="shared" si="23"/>
        <v>31.048902500000015</v>
      </c>
      <c r="N41" s="6">
        <f t="shared" si="23"/>
        <v>32.91183665000002</v>
      </c>
      <c r="O41" s="6">
        <f t="shared" si="23"/>
        <v>0</v>
      </c>
      <c r="P41" s="6">
        <f t="shared" si="23"/>
        <v>0</v>
      </c>
      <c r="Q41" s="6">
        <f t="shared" si="23"/>
        <v>0</v>
      </c>
      <c r="R41" s="6">
        <f t="shared" si="23"/>
        <v>0</v>
      </c>
      <c r="S41" s="6">
        <f t="shared" si="23"/>
        <v>0</v>
      </c>
      <c r="T41" s="27">
        <f t="shared" si="23"/>
        <v>0</v>
      </c>
      <c r="U41" s="6">
        <f t="shared" si="23"/>
        <v>0</v>
      </c>
      <c r="V41" s="6">
        <f t="shared" si="23"/>
        <v>0</v>
      </c>
      <c r="W41" s="6">
        <f t="shared" si="23"/>
        <v>0</v>
      </c>
      <c r="X41" s="6">
        <f t="shared" si="23"/>
        <v>0</v>
      </c>
    </row>
    <row r="42" spans="5:24" ht="12.75">
      <c r="E42" s="3"/>
      <c r="F42" s="3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29"/>
      <c r="U42" s="7"/>
      <c r="V42" s="7"/>
      <c r="W42" s="7"/>
      <c r="X42" s="7"/>
    </row>
    <row r="43" spans="1:24" ht="12.75">
      <c r="A43" s="4" t="s">
        <v>16</v>
      </c>
      <c r="B43" t="s">
        <v>17</v>
      </c>
      <c r="E43">
        <f>E40-E41</f>
        <v>20</v>
      </c>
      <c r="F43" s="6">
        <f aca="true" t="shared" si="24" ref="F43:U43">F40-F41</f>
        <v>22</v>
      </c>
      <c r="G43" s="6">
        <f t="shared" si="24"/>
        <v>24.200000000000006</v>
      </c>
      <c r="H43" s="6">
        <f t="shared" si="24"/>
        <v>6.620000000000008</v>
      </c>
      <c r="I43" s="6">
        <f t="shared" si="24"/>
        <v>6.8827000000000105</v>
      </c>
      <c r="J43" s="6">
        <f t="shared" si="24"/>
        <v>6.848902500000008</v>
      </c>
      <c r="K43" s="6">
        <f t="shared" si="24"/>
        <v>6.291836650000011</v>
      </c>
      <c r="L43" s="6">
        <f t="shared" si="24"/>
        <v>-28.88270000000001</v>
      </c>
      <c r="M43" s="6">
        <f t="shared" si="24"/>
        <v>-31.048902500000015</v>
      </c>
      <c r="N43" s="6">
        <f t="shared" si="24"/>
        <v>-32.91183665000002</v>
      </c>
      <c r="O43" s="6">
        <f t="shared" si="24"/>
        <v>0</v>
      </c>
      <c r="P43" s="6">
        <f t="shared" si="24"/>
        <v>0</v>
      </c>
      <c r="Q43" s="6">
        <f t="shared" si="24"/>
        <v>0</v>
      </c>
      <c r="R43" s="6">
        <f t="shared" si="24"/>
        <v>0</v>
      </c>
      <c r="S43" s="6">
        <f t="shared" si="24"/>
        <v>0</v>
      </c>
      <c r="T43" s="27">
        <f t="shared" si="24"/>
        <v>0</v>
      </c>
      <c r="U43" s="6">
        <f t="shared" si="24"/>
        <v>0</v>
      </c>
      <c r="V43" s="6">
        <f>V40-V41</f>
        <v>0</v>
      </c>
      <c r="W43" s="6">
        <f>W40-W41</f>
        <v>0</v>
      </c>
      <c r="X43" s="6">
        <f>X40-X41</f>
        <v>0</v>
      </c>
    </row>
    <row r="44" spans="7:24" ht="12.75"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27"/>
      <c r="U44" s="6"/>
      <c r="V44" s="6"/>
      <c r="W44" s="6"/>
      <c r="X44" s="6"/>
    </row>
    <row r="45" spans="1:24" ht="12.75">
      <c r="A45" s="4" t="s">
        <v>18</v>
      </c>
      <c r="B45" t="s">
        <v>19</v>
      </c>
      <c r="E45">
        <f>E7*(1-E8)</f>
        <v>80</v>
      </c>
      <c r="F45">
        <f>IF(F14&lt;=$E9,(E45+E40)*(1+F16)*(1-$E8),0)</f>
        <v>88.00000000000001</v>
      </c>
      <c r="G45" s="6">
        <f aca="true" t="shared" si="25" ref="G45:V45">IF(G14&lt;=$E9,(F45+F40)*(1+G16)*(1-$E8),0)</f>
        <v>96.80000000000003</v>
      </c>
      <c r="H45" s="6">
        <f t="shared" si="25"/>
        <v>106.48000000000005</v>
      </c>
      <c r="I45" s="6">
        <f t="shared" si="25"/>
        <v>115.53080000000006</v>
      </c>
      <c r="J45" s="6">
        <f t="shared" si="25"/>
        <v>124.19561000000004</v>
      </c>
      <c r="K45" s="6">
        <f t="shared" si="25"/>
        <v>131.64734660000008</v>
      </c>
      <c r="L45" s="6">
        <f t="shared" si="25"/>
        <v>0</v>
      </c>
      <c r="M45" s="6">
        <f t="shared" si="25"/>
        <v>0</v>
      </c>
      <c r="N45" s="6">
        <f t="shared" si="25"/>
        <v>0</v>
      </c>
      <c r="O45" s="6">
        <f t="shared" si="25"/>
        <v>0</v>
      </c>
      <c r="P45" s="6">
        <f t="shared" si="25"/>
        <v>0</v>
      </c>
      <c r="Q45" s="6">
        <f t="shared" si="25"/>
        <v>0</v>
      </c>
      <c r="R45" s="6">
        <f t="shared" si="25"/>
        <v>0</v>
      </c>
      <c r="S45" s="6">
        <f t="shared" si="25"/>
        <v>0</v>
      </c>
      <c r="T45" s="27">
        <f t="shared" si="25"/>
        <v>0</v>
      </c>
      <c r="U45" s="6">
        <f t="shared" si="25"/>
        <v>0</v>
      </c>
      <c r="V45" s="6">
        <f t="shared" si="25"/>
        <v>0</v>
      </c>
      <c r="W45" s="6">
        <f>IF(W14&lt;=$E9,(V45+V40)*(1+W16)*(1-$E8),0)</f>
        <v>0</v>
      </c>
      <c r="X45" s="6">
        <f>IF(X14&lt;=$E9,(W45+W40)*(1+X16)*(1-$E8),0)</f>
        <v>0</v>
      </c>
    </row>
    <row r="46" ht="12.75">
      <c r="T46" s="26"/>
    </row>
    <row r="47" spans="1:24" ht="12.75">
      <c r="A47" s="4" t="s">
        <v>20</v>
      </c>
      <c r="B47" t="s">
        <v>21</v>
      </c>
      <c r="E47" s="7">
        <f aca="true" t="shared" si="26" ref="E47:T47">E38-E43-E45</f>
        <v>-100</v>
      </c>
      <c r="F47" s="7">
        <f t="shared" si="26"/>
        <v>-68.02197802197803</v>
      </c>
      <c r="G47" s="7">
        <f t="shared" si="26"/>
        <v>-32.84615384615387</v>
      </c>
      <c r="H47" s="7">
        <f t="shared" si="26"/>
        <v>25.847252747252725</v>
      </c>
      <c r="I47" s="7">
        <f t="shared" si="26"/>
        <v>30.42847802197801</v>
      </c>
      <c r="J47" s="7">
        <f t="shared" si="26"/>
        <v>32.817899781119536</v>
      </c>
      <c r="K47" s="7">
        <f t="shared" si="26"/>
        <v>34.18197375475759</v>
      </c>
      <c r="L47" s="7">
        <f t="shared" si="26"/>
        <v>203.89176870028444</v>
      </c>
      <c r="M47" s="7">
        <f t="shared" si="26"/>
        <v>148.86171276531877</v>
      </c>
      <c r="N47" s="7">
        <f t="shared" si="26"/>
        <v>91.67249559827408</v>
      </c>
      <c r="O47" s="7">
        <f t="shared" si="26"/>
        <v>0</v>
      </c>
      <c r="P47" s="7">
        <f t="shared" si="26"/>
        <v>0</v>
      </c>
      <c r="Q47" s="7">
        <f t="shared" si="26"/>
        <v>0</v>
      </c>
      <c r="R47" s="7">
        <f t="shared" si="26"/>
        <v>0</v>
      </c>
      <c r="S47" s="7">
        <f t="shared" si="26"/>
        <v>0</v>
      </c>
      <c r="T47" s="29">
        <f t="shared" si="26"/>
        <v>0</v>
      </c>
      <c r="U47" s="7">
        <f>U38-U43-U45</f>
        <v>0</v>
      </c>
      <c r="V47" s="7">
        <f>V38-V43-V45</f>
        <v>0</v>
      </c>
      <c r="W47" s="7">
        <f>W38-W43-W45</f>
        <v>0</v>
      </c>
      <c r="X47" s="7">
        <f>X38-X43-X45</f>
        <v>0</v>
      </c>
    </row>
    <row r="48" ht="12.75">
      <c r="T48" s="26"/>
    </row>
    <row r="49" spans="15:20" ht="12.75">
      <c r="O49" s="6"/>
      <c r="T49" s="26"/>
    </row>
    <row r="50" spans="1:24" ht="12.75">
      <c r="A50" s="4" t="s">
        <v>22</v>
      </c>
      <c r="B50" t="s">
        <v>23</v>
      </c>
      <c r="E50" s="6">
        <f>SUM(E43)</f>
        <v>20</v>
      </c>
      <c r="F50" s="6">
        <f>SUM($E43:F43)</f>
        <v>42</v>
      </c>
      <c r="G50" s="6">
        <f>SUM($E43:G43)</f>
        <v>66.2</v>
      </c>
      <c r="H50" s="6">
        <f>SUM($E43:H43)</f>
        <v>72.82000000000001</v>
      </c>
      <c r="I50" s="6">
        <f>SUM($E43:I43)</f>
        <v>79.70270000000002</v>
      </c>
      <c r="J50" s="6">
        <f>SUM($E43:J43)</f>
        <v>86.55160250000003</v>
      </c>
      <c r="K50" s="6">
        <f>SUM($E43:K43)</f>
        <v>92.84343915000004</v>
      </c>
      <c r="L50" s="6">
        <f>SUM($E43:L43)</f>
        <v>63.96073915000002</v>
      </c>
      <c r="M50" s="6">
        <f>SUM($E43:M43)</f>
        <v>32.91183665000001</v>
      </c>
      <c r="N50" s="50">
        <f>SUM($E43:N43)</f>
        <v>-7.105427357601002E-15</v>
      </c>
      <c r="O50" s="6">
        <f>SUM($E43:O43)</f>
        <v>-7.105427357601002E-15</v>
      </c>
      <c r="P50" s="6">
        <f>SUM($E43:P43)</f>
        <v>-7.105427357601002E-15</v>
      </c>
      <c r="Q50" s="6">
        <f>SUM($E43:Q43)</f>
        <v>-7.105427357601002E-15</v>
      </c>
      <c r="R50" s="6">
        <f>SUM($E43:R43)</f>
        <v>-7.105427357601002E-15</v>
      </c>
      <c r="S50" s="6">
        <f>SUM($E43:S43)</f>
        <v>-7.105427357601002E-15</v>
      </c>
      <c r="T50" s="27">
        <f>SUM($E43:T43)</f>
        <v>-7.105427357601002E-15</v>
      </c>
      <c r="U50" s="6">
        <f>SUM($E43:U43)</f>
        <v>-7.105427357601002E-15</v>
      </c>
      <c r="V50" s="6">
        <f>SUM($E43:V43)</f>
        <v>-7.105427357601002E-15</v>
      </c>
      <c r="W50" s="6">
        <f>SUM($E43:W43)</f>
        <v>-7.105427357601002E-15</v>
      </c>
      <c r="X50" s="6">
        <f>SUM($E43:X43)</f>
        <v>-7.105427357601002E-15</v>
      </c>
    </row>
    <row r="51" spans="1:24" ht="12.75">
      <c r="A51" s="4" t="s">
        <v>24</v>
      </c>
      <c r="B51" t="s">
        <v>63</v>
      </c>
      <c r="E51" s="6">
        <f>E45+E50</f>
        <v>100</v>
      </c>
      <c r="F51" s="6">
        <f>SUM(E45:F45)+F50</f>
        <v>210</v>
      </c>
      <c r="G51" s="6">
        <f>SUM(E45:G45)+G50</f>
        <v>331</v>
      </c>
      <c r="H51" s="6">
        <f>IF($E4=4,SUM(E45:H45),IF($E4=3,SUM(F45:H45),IF($E4=5,SUM(E45:H45))))+H50</f>
        <v>364.1000000000001</v>
      </c>
      <c r="I51" s="6">
        <f>IF($E4=4,SUM(F45:I45),IF($E4=3,SUM(G45:I45),IF($E4=5,SUM(F45:I45))))+I50</f>
        <v>398.51350000000014</v>
      </c>
      <c r="J51" s="6">
        <f>IF($E4=4,SUM(G45:J45),IF($E4=3,SUM(H45:J45),IF($E4=5,SUM(G45:J45))))+J50</f>
        <v>432.7580125000002</v>
      </c>
      <c r="K51" s="6">
        <f aca="true" t="shared" si="27" ref="K51:X51">IF($E4=4,SUM(H45:K45),IF($E4=3,SUM(I45:K45),IF($E4=5,SUM(H45:K45))))+K50</f>
        <v>464.21719575000026</v>
      </c>
      <c r="L51" s="6">
        <f t="shared" si="27"/>
        <v>319.80369575000014</v>
      </c>
      <c r="M51" s="6">
        <f t="shared" si="27"/>
        <v>164.5591832500001</v>
      </c>
      <c r="N51" s="6">
        <f t="shared" si="27"/>
        <v>-7.105427357601002E-15</v>
      </c>
      <c r="O51" s="6">
        <f t="shared" si="27"/>
        <v>-7.105427357601002E-15</v>
      </c>
      <c r="P51" s="6">
        <f t="shared" si="27"/>
        <v>-7.105427357601002E-15</v>
      </c>
      <c r="Q51" s="6">
        <f t="shared" si="27"/>
        <v>-7.105427357601002E-15</v>
      </c>
      <c r="R51" s="6">
        <f t="shared" si="27"/>
        <v>-7.105427357601002E-15</v>
      </c>
      <c r="S51" s="6">
        <f t="shared" si="27"/>
        <v>-7.105427357601002E-15</v>
      </c>
      <c r="T51" s="27">
        <f t="shared" si="27"/>
        <v>-7.105427357601002E-15</v>
      </c>
      <c r="U51" s="6">
        <f t="shared" si="27"/>
        <v>-7.105427357601002E-15</v>
      </c>
      <c r="V51" s="6">
        <f t="shared" si="27"/>
        <v>-7.105427357601002E-15</v>
      </c>
      <c r="W51" s="6">
        <f t="shared" si="27"/>
        <v>-7.105427357601002E-15</v>
      </c>
      <c r="X51" s="6">
        <f t="shared" si="27"/>
        <v>-7.105427357601002E-15</v>
      </c>
    </row>
    <row r="52" spans="1:24" ht="12.75">
      <c r="A52" s="4" t="s">
        <v>26</v>
      </c>
      <c r="B52" s="4" t="s">
        <v>27</v>
      </c>
      <c r="C52" s="4"/>
      <c r="E52" s="5">
        <f>IF(OR(E50&lt;=0,E51&lt;=0),"",E50/E51)</f>
        <v>0.2</v>
      </c>
      <c r="F52" s="5">
        <f>IF(OR(F50&lt;=0,F51&lt;=0),"",F50/F51)</f>
        <v>0.2</v>
      </c>
      <c r="G52" s="5">
        <f aca="true" t="shared" si="28" ref="G52:U52">IF(OR(G50&lt;=0,G51&lt;=0),"",G50/G51)</f>
        <v>0.2</v>
      </c>
      <c r="H52" s="5">
        <f t="shared" si="28"/>
        <v>0.19999999999999998</v>
      </c>
      <c r="I52" s="5">
        <f t="shared" si="28"/>
        <v>0.19999999999999998</v>
      </c>
      <c r="J52" s="5">
        <f t="shared" si="28"/>
        <v>0.19999999999999998</v>
      </c>
      <c r="K52" s="5">
        <f t="shared" si="28"/>
        <v>0.19999999999999996</v>
      </c>
      <c r="L52" s="5">
        <f t="shared" si="28"/>
        <v>0.19999999999999998</v>
      </c>
      <c r="M52" s="5">
        <f t="shared" si="28"/>
        <v>0.19999999999999996</v>
      </c>
      <c r="N52" s="5">
        <f t="shared" si="28"/>
      </c>
      <c r="O52" s="5">
        <f t="shared" si="28"/>
      </c>
      <c r="P52" s="5">
        <f t="shared" si="28"/>
      </c>
      <c r="Q52" s="5">
        <f t="shared" si="28"/>
      </c>
      <c r="R52" s="5">
        <f t="shared" si="28"/>
      </c>
      <c r="S52" s="5">
        <f t="shared" si="28"/>
      </c>
      <c r="T52" s="25">
        <f t="shared" si="28"/>
      </c>
      <c r="U52" s="5">
        <f t="shared" si="28"/>
      </c>
      <c r="V52" s="5">
        <f>IF(OR(V50&lt;=0,V51&lt;=0),"",V50/V51)</f>
      </c>
      <c r="W52" s="5">
        <f>IF(OR(W50&lt;=0,W51&lt;=0),"",W50/W51)</f>
      </c>
      <c r="X52" s="5">
        <f>IF(OR(X50&lt;=0,X51&lt;=0),"",X50/X51)</f>
      </c>
    </row>
    <row r="53" ht="12.75">
      <c r="T53" s="26"/>
    </row>
    <row r="54" spans="1:24" ht="12.75">
      <c r="A54" s="4" t="s">
        <v>28</v>
      </c>
      <c r="B54" t="s">
        <v>29</v>
      </c>
      <c r="E54" s="5"/>
      <c r="F54" s="5">
        <f>CFROI!$H4</f>
        <v>0.19999999999569804</v>
      </c>
      <c r="G54" s="5">
        <f>CFROI!$H5</f>
        <v>0.1999999999956978</v>
      </c>
      <c r="H54" s="5">
        <f>CFROI!$H6</f>
        <v>0.19999999999569798</v>
      </c>
      <c r="I54" s="5">
        <f>CFROI!$H7</f>
        <v>0.19999999999569779</v>
      </c>
      <c r="J54" s="5">
        <f>CFROI!$H8</f>
        <v>0.18916380966218746</v>
      </c>
      <c r="K54" s="5">
        <f>CFROI!$H9</f>
        <v>0.1721244078240264</v>
      </c>
      <c r="L54" s="5">
        <f>CFROI!$H10</f>
        <v>0.14566489146098652</v>
      </c>
      <c r="M54" s="5">
        <f>CFROI!$H11</f>
        <v>0.1346050832965551</v>
      </c>
      <c r="N54" s="5">
        <f>CFROI!$H12</f>
        <v>0.11999999999962706</v>
      </c>
      <c r="O54" s="5">
        <f>CFROI!$H13</f>
        <v>2.228637760924696E-15</v>
      </c>
      <c r="P54" s="5">
        <f>CFROI!$H14</f>
        <v>2.228637760924696E-15</v>
      </c>
      <c r="Q54" s="5">
        <f>CFROI!$H15</f>
        <v>2.228637760924696E-15</v>
      </c>
      <c r="R54" s="5">
        <f>CFROI!$H16</f>
        <v>2.228637760924696E-15</v>
      </c>
      <c r="S54" s="5">
        <f>CFROI!$H17</f>
        <v>2.228637760924696E-15</v>
      </c>
      <c r="T54" s="25">
        <f>CFROI!$H18</f>
        <v>2.228637760924696E-15</v>
      </c>
      <c r="U54" s="5">
        <f>CFROI!$H19</f>
        <v>2.228637760924696E-15</v>
      </c>
      <c r="V54" s="5">
        <f>CFROI!$H20</f>
        <v>2.228637760924696E-15</v>
      </c>
      <c r="W54" s="5">
        <f>CFROI!$H21</f>
        <v>2.228637760924696E-15</v>
      </c>
      <c r="X54" s="5">
        <f>CFROI!$H22</f>
        <v>2.228637760924696E-15</v>
      </c>
    </row>
    <row r="55" spans="2:20" ht="12.75">
      <c r="B55" s="4" t="s">
        <v>64</v>
      </c>
      <c r="C55" s="4"/>
      <c r="S55" s="8"/>
      <c r="T55" s="26"/>
    </row>
    <row r="56" spans="4:23" ht="12.75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27"/>
      <c r="U56" s="6"/>
      <c r="V56" s="6"/>
      <c r="W56" s="6"/>
    </row>
    <row r="57" spans="4:23" ht="12.7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27"/>
      <c r="U57" s="6"/>
      <c r="V57" s="6"/>
      <c r="W57" s="6"/>
    </row>
    <row r="58" spans="1:24" ht="18">
      <c r="A58" s="38"/>
      <c r="B58" s="39" t="s">
        <v>31</v>
      </c>
      <c r="C58" s="39"/>
      <c r="D58" s="40"/>
      <c r="E58" s="41"/>
      <c r="F58" s="46"/>
      <c r="G58" s="46">
        <f>NPV($E5,H47:$X47)</f>
        <v>354.32011499665066</v>
      </c>
      <c r="H58" s="46">
        <f>NPV($E5,I47:$X47)</f>
        <v>363.9048737490631</v>
      </c>
      <c r="I58" s="46">
        <f>NPV($E5,J47:$X47)</f>
        <v>369.86688310199145</v>
      </c>
      <c r="J58" s="41">
        <f>NPV($E5,K47:$X47)</f>
        <v>374.03567163107107</v>
      </c>
      <c r="K58" s="41">
        <f>NPV($E5,L47:$X47)</f>
        <v>377.25726503942064</v>
      </c>
      <c r="L58" s="41">
        <f>NPV($E5,M47:$X47)</f>
        <v>211.09122284307827</v>
      </c>
      <c r="M58" s="41">
        <f>NPV($E5,N47:$X47)</f>
        <v>83.33863236206734</v>
      </c>
      <c r="N58" s="41">
        <f>NPV($E5,O47:$X47)</f>
        <v>0</v>
      </c>
      <c r="O58" s="41">
        <f>NPV($E5,P47:$X47)</f>
        <v>0</v>
      </c>
      <c r="P58" s="41">
        <f>NPV($E5,Q47:$X47)</f>
        <v>0</v>
      </c>
      <c r="Q58" s="41">
        <f>NPV($E5,R47:$X47)</f>
        <v>0</v>
      </c>
      <c r="R58" s="41">
        <f>NPV($E5,S47:$X47)</f>
        <v>0</v>
      </c>
      <c r="S58" s="41">
        <f>NPV($E5,T47:$X47)</f>
        <v>0</v>
      </c>
      <c r="T58" s="42">
        <f>NPV($E5,U47:$X47)</f>
        <v>0</v>
      </c>
      <c r="U58" s="41">
        <f>NPV($E5,V47:$X47)</f>
        <v>0</v>
      </c>
      <c r="V58" s="41">
        <f>NPV($E5,W47:$X47)</f>
        <v>0</v>
      </c>
      <c r="W58" s="41">
        <f>NPV($E5,X47:$X47)</f>
        <v>0</v>
      </c>
      <c r="X58" s="41">
        <f>NPV($E5,Y47)</f>
        <v>0</v>
      </c>
    </row>
    <row r="59" spans="2:23" ht="12.75">
      <c r="B59" s="4" t="s">
        <v>65</v>
      </c>
      <c r="C59" s="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27"/>
      <c r="U59" s="6"/>
      <c r="V59" s="6"/>
      <c r="W59" s="6"/>
    </row>
    <row r="60" spans="4:23" ht="12.7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27"/>
      <c r="U60" s="6"/>
      <c r="V60" s="6"/>
      <c r="W60" s="6"/>
    </row>
    <row r="61" spans="2:23" ht="12.75">
      <c r="B61" s="36"/>
      <c r="C61" s="3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27"/>
      <c r="U61" s="6"/>
      <c r="V61" s="6"/>
      <c r="W61" s="6"/>
    </row>
    <row r="62" spans="3:23" ht="12.75">
      <c r="C62" s="35" t="s">
        <v>66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27"/>
      <c r="U62" s="6"/>
      <c r="V62" s="6"/>
      <c r="W62" s="6"/>
    </row>
    <row r="63" ht="12.75">
      <c r="T63" s="26"/>
    </row>
    <row r="64" spans="1:20" ht="12.75">
      <c r="A64" s="4"/>
      <c r="B64" s="2" t="s">
        <v>67</v>
      </c>
      <c r="C64" s="2"/>
      <c r="T64" s="26"/>
    </row>
    <row r="65" spans="1:23" ht="12.75">
      <c r="A65" s="4"/>
      <c r="B65" t="s">
        <v>68</v>
      </c>
      <c r="F65" s="6">
        <f aca="true" t="shared" si="29" ref="F65:W65">G38</f>
        <v>88.15384615384616</v>
      </c>
      <c r="G65" s="6">
        <f t="shared" si="29"/>
        <v>138.94725274725278</v>
      </c>
      <c r="H65" s="6">
        <f t="shared" si="29"/>
        <v>152.84197802197806</v>
      </c>
      <c r="I65" s="6">
        <f t="shared" si="29"/>
        <v>163.8624122811196</v>
      </c>
      <c r="J65" s="6">
        <f t="shared" si="29"/>
        <v>172.1211570047577</v>
      </c>
      <c r="K65" s="6">
        <f t="shared" si="29"/>
        <v>175.00906870028444</v>
      </c>
      <c r="L65" s="6">
        <f t="shared" si="29"/>
        <v>117.81281026531875</v>
      </c>
      <c r="M65" s="6">
        <f t="shared" si="29"/>
        <v>58.760658948274056</v>
      </c>
      <c r="N65" s="6">
        <f t="shared" si="29"/>
        <v>0</v>
      </c>
      <c r="O65" s="6">
        <f t="shared" si="29"/>
        <v>0</v>
      </c>
      <c r="P65" s="6">
        <f t="shared" si="29"/>
        <v>0</v>
      </c>
      <c r="Q65" s="6">
        <f t="shared" si="29"/>
        <v>0</v>
      </c>
      <c r="R65" s="6">
        <f t="shared" si="29"/>
        <v>0</v>
      </c>
      <c r="S65" s="6">
        <f t="shared" si="29"/>
        <v>0</v>
      </c>
      <c r="T65" s="27">
        <f t="shared" si="29"/>
        <v>0</v>
      </c>
      <c r="U65" s="6">
        <f t="shared" si="29"/>
        <v>0</v>
      </c>
      <c r="V65" s="6">
        <f t="shared" si="29"/>
        <v>0</v>
      </c>
      <c r="W65" s="6">
        <f t="shared" si="29"/>
        <v>0</v>
      </c>
    </row>
    <row r="66" spans="1:23" ht="12.75">
      <c r="A66" s="4"/>
      <c r="B66" t="s">
        <v>69</v>
      </c>
      <c r="F66" s="6">
        <f>IF($E4&gt;=2,SUM(H20:H22),0)</f>
        <v>88.15384615384616</v>
      </c>
      <c r="G66" s="6">
        <f>IF($E4&gt;=2,SUM(I21:I23),0)</f>
        <v>96.96923076923079</v>
      </c>
      <c r="H66" s="6">
        <f>IF($E4&gt;=2,SUM(J22:J24),0)</f>
        <v>106.66615384615389</v>
      </c>
      <c r="I66" s="6">
        <f>IF($E4&gt;=2,SUM(K23:K25),0)</f>
        <v>113.069005687713</v>
      </c>
      <c r="J66" s="6">
        <f>IF($E4&gt;=2,SUM(L24:L26),0)</f>
        <v>116.2484097520104</v>
      </c>
      <c r="K66" s="6">
        <f>IF($E4&gt;=2,SUM(M25:M27),0)</f>
        <v>117.81281026531875</v>
      </c>
      <c r="L66" s="6">
        <f>IF($E4&gt;=2,SUM(N26:N28),0)</f>
        <v>58.760658948274056</v>
      </c>
      <c r="M66" s="6">
        <f>IF($E4&gt;=2,SUM(O27:O29),0)</f>
        <v>0</v>
      </c>
      <c r="N66" s="6">
        <f>IF($E4&gt;=2,SUM(P28:P30),0)</f>
        <v>0</v>
      </c>
      <c r="O66" s="6">
        <f>IF($E4&gt;=2,SUM(Q29:Q31),0)</f>
        <v>0</v>
      </c>
      <c r="P66" s="6">
        <f>IF($E4&gt;=2,SUM(R30:R32),0)</f>
        <v>0</v>
      </c>
      <c r="Q66" s="6">
        <f>IF($E4&gt;=2,SUM(S31:S33),0)</f>
        <v>0</v>
      </c>
      <c r="R66" s="6">
        <f>IF($E4&gt;=2,SUM(T32:T34),0)</f>
        <v>0</v>
      </c>
      <c r="S66" s="6">
        <f>IF($E4&gt;=2,SUM(U33:U35),0)</f>
        <v>0</v>
      </c>
      <c r="T66" s="27">
        <f>IF($E4&gt;=2,SUM(V34:V36),0)</f>
        <v>0</v>
      </c>
      <c r="U66" s="6">
        <f>IF($E4&gt;=2,SUM(W35:W36),0)</f>
        <v>0</v>
      </c>
      <c r="V66" s="6">
        <f>IF($E4&gt;=2,SUM(X36:X36),0)</f>
        <v>0</v>
      </c>
      <c r="W66" s="6"/>
    </row>
    <row r="67" spans="1:23" ht="12.75">
      <c r="A67" s="4"/>
      <c r="B67" t="s">
        <v>70</v>
      </c>
      <c r="F67" s="6">
        <f>IF($E4&gt;=3,SUM(I20:I22),0)</f>
        <v>46.17582417582418</v>
      </c>
      <c r="G67" s="6">
        <f>IF($E4&gt;=3,SUM(J21:J23),0)</f>
        <v>50.79340659340661</v>
      </c>
      <c r="H67" s="6">
        <f>IF($E4&gt;=3,SUM(K22:K24),0)</f>
        <v>55.87274725274728</v>
      </c>
      <c r="I67" s="6">
        <f>IF($E4&gt;=3,SUM(L23:L25),0)</f>
        <v>57.19625843496571</v>
      </c>
      <c r="J67" s="6">
        <f>IF($E4&gt;=3,SUM(M24:M26),0)</f>
        <v>59.05215131704469</v>
      </c>
      <c r="K67" s="6">
        <f>IF($E4&gt;=3,SUM(N25:N27),0)</f>
        <v>58.760658948274056</v>
      </c>
      <c r="L67" s="6">
        <f>IF($E4&gt;=3,SUM(O26:O28),0)</f>
        <v>0</v>
      </c>
      <c r="M67" s="6">
        <f>IF($E4&gt;=3,SUM(P27:P29),0)</f>
        <v>0</v>
      </c>
      <c r="N67" s="6">
        <f>IF($E4&gt;=3,SUM(Q28:Q30),0)</f>
        <v>0</v>
      </c>
      <c r="O67" s="6">
        <f>IF($E4&gt;=3,SUM(R29:R31),0)</f>
        <v>0</v>
      </c>
      <c r="P67" s="6">
        <f>IF($E4&gt;=3,SUM(S30:S32),0)</f>
        <v>0</v>
      </c>
      <c r="Q67" s="6">
        <f>IF($E4&gt;=3,SUM(T31:T33),0)</f>
        <v>0</v>
      </c>
      <c r="R67" s="6">
        <f>IF($E4&gt;=3,SUM(U32:U34),0)</f>
        <v>0</v>
      </c>
      <c r="S67" s="6">
        <f>IF($E4&gt;=3,SUM(V33:V35),0)</f>
        <v>0</v>
      </c>
      <c r="T67" s="27">
        <f>IF($E4&gt;=3,SUM(W34:W36),0)</f>
        <v>0</v>
      </c>
      <c r="U67" s="6">
        <f>IF($E4&gt;=3,SUM(X35:X36),0)</f>
        <v>0</v>
      </c>
      <c r="V67" s="6"/>
      <c r="W67" s="6"/>
    </row>
    <row r="68" spans="1:23" ht="12.75">
      <c r="A68" s="4"/>
      <c r="B68" t="s">
        <v>71</v>
      </c>
      <c r="F68" s="6">
        <f>IF($E4&gt;=4,SUM(J21:J$23),0)</f>
        <v>0</v>
      </c>
      <c r="G68" s="6">
        <f>IF($E4&gt;=4,SUM(K21:K$23),0)</f>
        <v>0</v>
      </c>
      <c r="H68" s="6">
        <f>IF($E4&gt;=4,SUM(L22:L$24),0)</f>
        <v>0</v>
      </c>
      <c r="I68" s="6">
        <f>IF($E4&gt;=4,SUM(M25:M$25),0)</f>
        <v>0</v>
      </c>
      <c r="J68" s="6">
        <f>IF($E4&gt;=4,SUM(N26:N$26),0)</f>
        <v>0</v>
      </c>
      <c r="K68" s="6">
        <f>IF($E4&gt;=4,SUM(O27:O$27),0)</f>
        <v>0</v>
      </c>
      <c r="L68" s="6">
        <f>IF($E4&gt;=4,SUM(P28:P$28),0)</f>
        <v>0</v>
      </c>
      <c r="M68" s="6">
        <f>IF($E4&gt;=4,SUM(Q27:Q$29),0)</f>
        <v>0</v>
      </c>
      <c r="N68" s="6">
        <f>IF($E4&gt;=4,SUM(R28:R$30),0)</f>
        <v>0</v>
      </c>
      <c r="O68" s="6">
        <f>IF($E4&gt;=4,SUM(S29:S$31),0)</f>
        <v>0</v>
      </c>
      <c r="P68" s="6">
        <f>IF($E4&gt;=4,SUM(T30:T$32),0)</f>
        <v>0</v>
      </c>
      <c r="Q68" s="6">
        <f>IF($E4&gt;=4,SUM(U31:U$33),0)</f>
        <v>0</v>
      </c>
      <c r="R68" s="6">
        <f>IF($E4&gt;=4,SUM(V32:V$34),0)</f>
        <v>0</v>
      </c>
      <c r="S68" s="6">
        <f>IF($E4&gt;=4,SUM(W33:W$35),0)</f>
        <v>0</v>
      </c>
      <c r="T68" s="27">
        <f>IF($E4&gt;=4,SUM(X34:X$36),0)</f>
        <v>0</v>
      </c>
      <c r="U68" s="6">
        <f>IF($E4&gt;=4,SUM(Y35:Y$36),0)</f>
        <v>0</v>
      </c>
      <c r="V68" s="6"/>
      <c r="W68" s="6"/>
    </row>
    <row r="69" spans="1:20" ht="12.75">
      <c r="A69" s="4"/>
      <c r="T69" s="26"/>
    </row>
    <row r="70" spans="1:24" ht="12.75">
      <c r="A70" s="4"/>
      <c r="B70" s="4" t="s">
        <v>72</v>
      </c>
      <c r="C70" s="4"/>
      <c r="D70" s="37">
        <f>(1+$E$5)^1</f>
        <v>1.1</v>
      </c>
      <c r="F70" s="6">
        <f>F65/$D70</f>
        <v>80.13986013986013</v>
      </c>
      <c r="G70" s="6">
        <f>G65/$D70</f>
        <v>126.31568431568434</v>
      </c>
      <c r="H70" s="6">
        <f>H65/$D70</f>
        <v>138.94725274725278</v>
      </c>
      <c r="I70" s="6">
        <f>I65/$D70</f>
        <v>148.96582934647233</v>
      </c>
      <c r="J70" s="6">
        <f>J65/$D70</f>
        <v>156.47377909523425</v>
      </c>
      <c r="K70" s="6">
        <f aca="true" t="shared" si="30" ref="K70:X70">K65/$D70</f>
        <v>159.09915336389494</v>
      </c>
      <c r="L70" s="6">
        <f t="shared" si="30"/>
        <v>107.1025547866534</v>
      </c>
      <c r="M70" s="6">
        <f t="shared" si="30"/>
        <v>53.41878086206732</v>
      </c>
      <c r="N70" s="6">
        <f t="shared" si="30"/>
        <v>0</v>
      </c>
      <c r="O70" s="6">
        <f t="shared" si="30"/>
        <v>0</v>
      </c>
      <c r="P70" s="6">
        <f t="shared" si="30"/>
        <v>0</v>
      </c>
      <c r="Q70" s="6">
        <f t="shared" si="30"/>
        <v>0</v>
      </c>
      <c r="R70" s="6">
        <f t="shared" si="30"/>
        <v>0</v>
      </c>
      <c r="S70" s="6">
        <f t="shared" si="30"/>
        <v>0</v>
      </c>
      <c r="T70" s="27">
        <f t="shared" si="30"/>
        <v>0</v>
      </c>
      <c r="U70" s="6">
        <f t="shared" si="30"/>
        <v>0</v>
      </c>
      <c r="V70" s="6">
        <f t="shared" si="30"/>
        <v>0</v>
      </c>
      <c r="W70" s="6">
        <f t="shared" si="30"/>
        <v>0</v>
      </c>
      <c r="X70" s="6">
        <f t="shared" si="30"/>
        <v>0</v>
      </c>
    </row>
    <row r="71" spans="1:24" ht="12.75">
      <c r="A71" s="4"/>
      <c r="B71" s="4" t="s">
        <v>73</v>
      </c>
      <c r="C71" s="4"/>
      <c r="D71" s="37">
        <f>(1+$E$5)^2</f>
        <v>1.2100000000000002</v>
      </c>
      <c r="F71" s="6">
        <f aca="true" t="shared" si="31" ref="F71:X73">F66/$D71</f>
        <v>72.85441830896376</v>
      </c>
      <c r="G71" s="6">
        <f t="shared" si="31"/>
        <v>80.13986013986015</v>
      </c>
      <c r="H71" s="6">
        <f t="shared" si="31"/>
        <v>88.15384615384617</v>
      </c>
      <c r="I71" s="6">
        <f t="shared" si="31"/>
        <v>93.44545924604378</v>
      </c>
      <c r="J71" s="6">
        <f t="shared" si="31"/>
        <v>96.07306591075239</v>
      </c>
      <c r="K71" s="6">
        <f t="shared" si="31"/>
        <v>97.36595889695762</v>
      </c>
      <c r="L71" s="6">
        <f t="shared" si="31"/>
        <v>48.56252805642483</v>
      </c>
      <c r="M71" s="6">
        <f t="shared" si="31"/>
        <v>0</v>
      </c>
      <c r="N71" s="6">
        <f t="shared" si="31"/>
        <v>0</v>
      </c>
      <c r="O71" s="6">
        <f t="shared" si="31"/>
        <v>0</v>
      </c>
      <c r="P71" s="6">
        <f t="shared" si="31"/>
        <v>0</v>
      </c>
      <c r="Q71" s="6">
        <f t="shared" si="31"/>
        <v>0</v>
      </c>
      <c r="R71" s="6">
        <f t="shared" si="31"/>
        <v>0</v>
      </c>
      <c r="S71" s="6">
        <f t="shared" si="31"/>
        <v>0</v>
      </c>
      <c r="T71" s="27">
        <f t="shared" si="31"/>
        <v>0</v>
      </c>
      <c r="U71" s="6">
        <f t="shared" si="31"/>
        <v>0</v>
      </c>
      <c r="V71" s="6">
        <f t="shared" si="31"/>
        <v>0</v>
      </c>
      <c r="W71" s="6">
        <f t="shared" si="31"/>
        <v>0</v>
      </c>
      <c r="X71" s="6">
        <f t="shared" si="31"/>
        <v>0</v>
      </c>
    </row>
    <row r="72" spans="1:24" ht="12.75">
      <c r="A72" s="4"/>
      <c r="B72" s="4" t="s">
        <v>74</v>
      </c>
      <c r="C72" s="4"/>
      <c r="D72" s="37">
        <f>(1+$E$5)^3</f>
        <v>1.3310000000000004</v>
      </c>
      <c r="F72" s="6">
        <f t="shared" si="31"/>
        <v>34.6925801471256</v>
      </c>
      <c r="G72" s="6">
        <f t="shared" si="31"/>
        <v>38.16183816183816</v>
      </c>
      <c r="H72" s="6">
        <f t="shared" si="31"/>
        <v>41.978021978021985</v>
      </c>
      <c r="I72" s="6">
        <f t="shared" si="31"/>
        <v>42.97239551838144</v>
      </c>
      <c r="J72" s="6">
        <f t="shared" si="31"/>
        <v>44.36675530957526</v>
      </c>
      <c r="K72" s="6">
        <f t="shared" si="31"/>
        <v>44.14775277856802</v>
      </c>
      <c r="L72" s="6">
        <f t="shared" si="31"/>
        <v>0</v>
      </c>
      <c r="M72" s="6">
        <f t="shared" si="31"/>
        <v>0</v>
      </c>
      <c r="N72" s="6">
        <f t="shared" si="31"/>
        <v>0</v>
      </c>
      <c r="O72" s="6">
        <f t="shared" si="31"/>
        <v>0</v>
      </c>
      <c r="P72" s="6">
        <f t="shared" si="31"/>
        <v>0</v>
      </c>
      <c r="Q72" s="6">
        <f t="shared" si="31"/>
        <v>0</v>
      </c>
      <c r="R72" s="6">
        <f t="shared" si="31"/>
        <v>0</v>
      </c>
      <c r="S72" s="6">
        <f t="shared" si="31"/>
        <v>0</v>
      </c>
      <c r="T72" s="27">
        <f t="shared" si="31"/>
        <v>0</v>
      </c>
      <c r="U72" s="6">
        <f t="shared" si="31"/>
        <v>0</v>
      </c>
      <c r="V72" s="6">
        <f t="shared" si="31"/>
        <v>0</v>
      </c>
      <c r="W72" s="6">
        <f t="shared" si="31"/>
        <v>0</v>
      </c>
      <c r="X72" s="6">
        <f t="shared" si="31"/>
        <v>0</v>
      </c>
    </row>
    <row r="73" spans="1:24" ht="12.75">
      <c r="A73" s="4"/>
      <c r="B73" s="4" t="s">
        <v>75</v>
      </c>
      <c r="C73" s="4"/>
      <c r="D73" s="37">
        <f>(1+$E$5)^4</f>
        <v>1.4641000000000004</v>
      </c>
      <c r="F73" s="6">
        <f t="shared" si="31"/>
        <v>0</v>
      </c>
      <c r="G73" s="6">
        <f t="shared" si="31"/>
        <v>0</v>
      </c>
      <c r="H73" s="6">
        <f t="shared" si="31"/>
        <v>0</v>
      </c>
      <c r="I73" s="6">
        <f t="shared" si="31"/>
        <v>0</v>
      </c>
      <c r="J73" s="6">
        <f t="shared" si="31"/>
        <v>0</v>
      </c>
      <c r="K73" s="6">
        <f t="shared" si="31"/>
        <v>0</v>
      </c>
      <c r="L73" s="6">
        <f t="shared" si="31"/>
        <v>0</v>
      </c>
      <c r="M73" s="6">
        <f t="shared" si="31"/>
        <v>0</v>
      </c>
      <c r="N73" s="6">
        <f t="shared" si="31"/>
        <v>0</v>
      </c>
      <c r="O73" s="6">
        <f t="shared" si="31"/>
        <v>0</v>
      </c>
      <c r="P73" s="6">
        <f t="shared" si="31"/>
        <v>0</v>
      </c>
      <c r="Q73" s="6">
        <f t="shared" si="31"/>
        <v>0</v>
      </c>
      <c r="R73" s="6">
        <f t="shared" si="31"/>
        <v>0</v>
      </c>
      <c r="S73" s="6">
        <f t="shared" si="31"/>
        <v>0</v>
      </c>
      <c r="T73" s="27">
        <f t="shared" si="31"/>
        <v>0</v>
      </c>
      <c r="U73" s="6">
        <f t="shared" si="31"/>
        <v>0</v>
      </c>
      <c r="V73" s="6">
        <f t="shared" si="31"/>
        <v>0</v>
      </c>
      <c r="W73" s="6">
        <f t="shared" si="31"/>
        <v>0</v>
      </c>
      <c r="X73" s="6">
        <f t="shared" si="31"/>
        <v>0</v>
      </c>
    </row>
    <row r="74" spans="1:24" ht="12.75">
      <c r="A74" s="4"/>
      <c r="B74" s="4"/>
      <c r="C74" s="4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29"/>
      <c r="U74" s="7"/>
      <c r="V74" s="7"/>
      <c r="W74" s="7"/>
      <c r="X74" s="7"/>
    </row>
    <row r="75" spans="1:24" ht="12.75">
      <c r="A75" s="4" t="s">
        <v>34</v>
      </c>
      <c r="B75" s="14" t="s">
        <v>76</v>
      </c>
      <c r="C75" s="14"/>
      <c r="F75" s="6"/>
      <c r="G75" s="6">
        <f>NPV($E5,G65:G68)</f>
        <v>244.61738261738265</v>
      </c>
      <c r="H75" s="6">
        <f>NPV($E5,H65:H68)</f>
        <v>269.0791208791209</v>
      </c>
      <c r="I75" s="6">
        <f>NPV($E5,I65:I68)</f>
        <v>285.38368411089755</v>
      </c>
      <c r="J75" s="6">
        <f>NPV($E5,J65:J68)</f>
        <v>296.9136003155619</v>
      </c>
      <c r="K75" s="6">
        <f aca="true" t="shared" si="32" ref="K75:X75">NPV($E5,K65:K68)</f>
        <v>300.61286503942057</v>
      </c>
      <c r="L75" s="6">
        <f t="shared" si="32"/>
        <v>155.66508284307824</v>
      </c>
      <c r="M75" s="6">
        <f t="shared" si="32"/>
        <v>53.41878086206732</v>
      </c>
      <c r="N75" s="6">
        <f t="shared" si="32"/>
        <v>0</v>
      </c>
      <c r="O75" s="6">
        <f t="shared" si="32"/>
        <v>0</v>
      </c>
      <c r="P75" s="6">
        <f t="shared" si="32"/>
        <v>0</v>
      </c>
      <c r="Q75" s="6">
        <f t="shared" si="32"/>
        <v>0</v>
      </c>
      <c r="R75" s="6">
        <f t="shared" si="32"/>
        <v>0</v>
      </c>
      <c r="S75" s="6">
        <f t="shared" si="32"/>
        <v>0</v>
      </c>
      <c r="T75" s="27">
        <f t="shared" si="32"/>
        <v>0</v>
      </c>
      <c r="U75" s="6">
        <f t="shared" si="32"/>
        <v>0</v>
      </c>
      <c r="V75" s="6">
        <f t="shared" si="32"/>
        <v>0</v>
      </c>
      <c r="W75" s="6">
        <f t="shared" si="32"/>
        <v>0</v>
      </c>
      <c r="X75" s="6">
        <f t="shared" si="32"/>
        <v>0</v>
      </c>
    </row>
    <row r="76" spans="1:24" ht="12.75">
      <c r="A76" s="4" t="s">
        <v>36</v>
      </c>
      <c r="B76" t="s">
        <v>37</v>
      </c>
      <c r="G76" s="6">
        <f>IF($E4=4,NPV($E5,H41:K41),NPV($E5,H41:J41))</f>
        <v>54.54545454545454</v>
      </c>
      <c r="H76" s="6">
        <f>IF($E4=4,NPV($E5,I41:L41),NPV($E5,I41:K41))</f>
        <v>59.99999999999999</v>
      </c>
      <c r="I76" s="6">
        <f>IF($E4=4,NPV($E5,J41:M41),NPV($E5,J41:L41))</f>
        <v>65.7</v>
      </c>
      <c r="J76" s="6">
        <f>IF($E4=4,NPV($E5,K41:N41),NPV($E5,K41:M41))</f>
        <v>71.39750000000002</v>
      </c>
      <c r="K76" s="6">
        <f aca="true" t="shared" si="33" ref="K76:X76">IF($E4=4,NPV($E5,L41:O41),NPV($E5,L41:N41))</f>
        <v>76.64440000000002</v>
      </c>
      <c r="L76" s="6">
        <f t="shared" si="33"/>
        <v>55.426140000000025</v>
      </c>
      <c r="M76" s="6">
        <f t="shared" si="33"/>
        <v>29.919851500000014</v>
      </c>
      <c r="N76" s="6">
        <f t="shared" si="33"/>
        <v>0</v>
      </c>
      <c r="O76" s="6">
        <f t="shared" si="33"/>
        <v>0</v>
      </c>
      <c r="P76" s="6">
        <f t="shared" si="33"/>
        <v>0</v>
      </c>
      <c r="Q76" s="6">
        <f t="shared" si="33"/>
        <v>0</v>
      </c>
      <c r="R76" s="6">
        <f t="shared" si="33"/>
        <v>0</v>
      </c>
      <c r="S76" s="6">
        <f t="shared" si="33"/>
        <v>0</v>
      </c>
      <c r="T76" s="27">
        <f t="shared" si="33"/>
        <v>0</v>
      </c>
      <c r="U76" s="6">
        <f t="shared" si="33"/>
        <v>0</v>
      </c>
      <c r="V76" s="6">
        <f t="shared" si="33"/>
        <v>0</v>
      </c>
      <c r="W76" s="6">
        <f t="shared" si="33"/>
        <v>0</v>
      </c>
      <c r="X76" s="6">
        <f t="shared" si="33"/>
        <v>0</v>
      </c>
    </row>
    <row r="77" spans="1:24" ht="12.75">
      <c r="A77" s="4" t="s">
        <v>38</v>
      </c>
      <c r="B77" t="s">
        <v>39</v>
      </c>
      <c r="G77" s="6">
        <f aca="true" t="shared" si="34" ref="G77:V77">G75+G76</f>
        <v>299.1628371628372</v>
      </c>
      <c r="H77" s="6">
        <f t="shared" si="34"/>
        <v>329.0791208791209</v>
      </c>
      <c r="I77" s="6">
        <f t="shared" si="34"/>
        <v>351.08368411089754</v>
      </c>
      <c r="J77" s="6">
        <f t="shared" si="34"/>
        <v>368.31110031556193</v>
      </c>
      <c r="K77" s="6">
        <f t="shared" si="34"/>
        <v>377.2572650394206</v>
      </c>
      <c r="L77" s="6">
        <f t="shared" si="34"/>
        <v>211.09122284307827</v>
      </c>
      <c r="M77" s="6">
        <f t="shared" si="34"/>
        <v>83.33863236206733</v>
      </c>
      <c r="N77" s="6">
        <f t="shared" si="34"/>
        <v>0</v>
      </c>
      <c r="O77" s="6">
        <f t="shared" si="34"/>
        <v>0</v>
      </c>
      <c r="P77" s="6">
        <f t="shared" si="34"/>
        <v>0</v>
      </c>
      <c r="Q77" s="6">
        <f t="shared" si="34"/>
        <v>0</v>
      </c>
      <c r="R77" s="6">
        <f t="shared" si="34"/>
        <v>0</v>
      </c>
      <c r="S77" s="6">
        <f t="shared" si="34"/>
        <v>0</v>
      </c>
      <c r="T77" s="27">
        <f t="shared" si="34"/>
        <v>0</v>
      </c>
      <c r="U77" s="6">
        <f t="shared" si="34"/>
        <v>0</v>
      </c>
      <c r="V77" s="6">
        <f t="shared" si="34"/>
        <v>0</v>
      </c>
      <c r="W77" s="6">
        <f>W75+W76</f>
        <v>0</v>
      </c>
      <c r="X77" s="6">
        <f>X75+X76</f>
        <v>0</v>
      </c>
    </row>
    <row r="78" ht="12.75">
      <c r="T78" s="26"/>
    </row>
    <row r="79" spans="1:23" ht="12.75">
      <c r="A79" s="4" t="s">
        <v>41</v>
      </c>
      <c r="B79" t="s">
        <v>77</v>
      </c>
      <c r="G79" s="6">
        <f aca="true" t="shared" si="35" ref="G79:T79">HLOOKUP($E$9,TERMVAL,G14,FALSE)</f>
        <v>96.64832684049983</v>
      </c>
      <c r="H79" s="6">
        <f t="shared" si="35"/>
        <v>80.4659067772971</v>
      </c>
      <c r="I79" s="6">
        <f t="shared" si="35"/>
        <v>58.08401943304882</v>
      </c>
      <c r="J79" s="6">
        <f t="shared" si="35"/>
        <v>31.074521595234174</v>
      </c>
      <c r="K79" s="6">
        <f t="shared" si="35"/>
        <v>0</v>
      </c>
      <c r="L79" s="6">
        <f t="shared" si="35"/>
        <v>0</v>
      </c>
      <c r="M79" s="6">
        <f t="shared" si="35"/>
        <v>0</v>
      </c>
      <c r="N79" s="6">
        <f t="shared" si="35"/>
        <v>0</v>
      </c>
      <c r="O79" s="6">
        <f t="shared" si="35"/>
        <v>0</v>
      </c>
      <c r="P79" s="6">
        <f t="shared" si="35"/>
        <v>0</v>
      </c>
      <c r="Q79" s="6">
        <f t="shared" si="35"/>
        <v>0</v>
      </c>
      <c r="R79" s="6">
        <f t="shared" si="35"/>
        <v>0</v>
      </c>
      <c r="S79" s="6">
        <f t="shared" si="35"/>
        <v>0</v>
      </c>
      <c r="T79" s="27">
        <f t="shared" si="35"/>
        <v>0</v>
      </c>
      <c r="U79" s="6"/>
      <c r="V79" s="6"/>
      <c r="W79" s="6"/>
    </row>
    <row r="80" spans="1:24" ht="12.75">
      <c r="A80" s="4" t="s">
        <v>43</v>
      </c>
      <c r="B80" t="s">
        <v>78</v>
      </c>
      <c r="G80" s="43">
        <f>IF(G14&lt;$E9,HLOOKUP(WORKSHEET!$E$9,BIGT,WORKSHEET!G14,FALSE),G77)</f>
        <v>257.67178815615085</v>
      </c>
      <c r="H80" s="43">
        <f>IF(H14&lt;$E9,HLOOKUP(WORKSHEET!$E$9,BIGT,WORKSHEET!H14,FALSE),H77)</f>
        <v>283.4389669717659</v>
      </c>
      <c r="I80" s="43">
        <f>IF(I14&lt;$E9,HLOOKUP(WORKSHEET!$E$9,BIGT,WORKSHEET!I14,FALSE),I77)</f>
        <v>311.7828636689426</v>
      </c>
      <c r="J80" s="43">
        <f>IF(J14&lt;$E9,HLOOKUP(WORKSHEET!$E$9,BIGT,WORKSHEET!J14,FALSE),J77)</f>
        <v>342.96115003583685</v>
      </c>
      <c r="K80" s="43">
        <f>IF(K14&lt;$E9,HLOOKUP(WORKSHEET!$E$9,BIGT,WORKSHEET!K14,FALSE),K77)</f>
        <v>377.2572650394206</v>
      </c>
      <c r="L80" s="43">
        <f>IF(L14&lt;$E9,HLOOKUP(WORKSHEET!$E$9,BIGT,WORKSHEET!L14,FALSE),L77)</f>
        <v>211.09122284307827</v>
      </c>
      <c r="M80" s="43">
        <f>IF(M14&lt;$E9,HLOOKUP(WORKSHEET!$E$9,BIGT,WORKSHEET!M14,FALSE),M77)</f>
        <v>83.33863236206733</v>
      </c>
      <c r="N80" s="43">
        <f>IF(N14&lt;$E9,HLOOKUP(WORKSHEET!$E$9,BIGT,WORKSHEET!N14,FALSE),N77)</f>
        <v>0</v>
      </c>
      <c r="O80" s="43">
        <f>IF(O14&lt;$E9,HLOOKUP(WORKSHEET!$E$9,BIGT,WORKSHEET!O14,FALSE),O77)</f>
        <v>0</v>
      </c>
      <c r="P80" s="43">
        <f>IF(P14&lt;$E9,HLOOKUP(WORKSHEET!$E$9,BIGT,WORKSHEET!P14,FALSE),P77)</f>
        <v>0</v>
      </c>
      <c r="Q80" s="43">
        <f>IF(Q14&lt;$E9,HLOOKUP(WORKSHEET!$E$9,BIGT,WORKSHEET!Q14,FALSE),Q77)</f>
        <v>0</v>
      </c>
      <c r="R80" s="43">
        <f>IF(R14&lt;$E9,HLOOKUP(WORKSHEET!$E$9,BIGT,WORKSHEET!R14,FALSE),R77)</f>
        <v>0</v>
      </c>
      <c r="S80" s="43">
        <f>IF(S14&lt;$E9,HLOOKUP(WORKSHEET!$E$9,BIGT,WORKSHEET!S14,FALSE),S77)</f>
        <v>0</v>
      </c>
      <c r="T80" s="85">
        <f>IF(T14&lt;$E9,HLOOKUP(WORKSHEET!$E$9,BIGT,WORKSHEET!T14,FALSE),T77)</f>
        <v>0</v>
      </c>
      <c r="U80" s="43">
        <f>IF(U14&lt;$E9,HLOOKUP(WORKSHEET!$E$9,BIGT,WORKSHEET!U14,FALSE),U77)</f>
        <v>0</v>
      </c>
      <c r="V80" s="43">
        <f>IF(V14&lt;$E9,HLOOKUP(WORKSHEET!$E$9,BIGT,WORKSHEET!V14,FALSE),V77)</f>
        <v>0</v>
      </c>
      <c r="W80" s="43">
        <f>IF(W14&lt;$E9,HLOOKUP(WORKSHEET!$E$9,BIGT,WORKSHEET!W14,FALSE),W77)</f>
        <v>0</v>
      </c>
      <c r="X80" s="43">
        <f>IF(X14&lt;$E9,HLOOKUP(WORKSHEET!$E$9,BIGT,WORKSHEET!X14,FALSE),X77)</f>
        <v>0</v>
      </c>
    </row>
    <row r="81" spans="1:24" ht="12.75">
      <c r="A81" s="4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27"/>
      <c r="U81" s="6"/>
      <c r="V81" s="6"/>
      <c r="W81" s="6"/>
      <c r="X81" s="6"/>
    </row>
    <row r="82" spans="1:24" ht="12.75">
      <c r="A82" s="4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27"/>
      <c r="U82" s="6"/>
      <c r="V82" s="6"/>
      <c r="W82" s="6"/>
      <c r="X82" s="6"/>
    </row>
    <row r="83" spans="2:24" s="38" customFormat="1" ht="18">
      <c r="B83" s="39" t="s">
        <v>49</v>
      </c>
      <c r="C83" s="39"/>
      <c r="D83" s="40"/>
      <c r="E83" s="41"/>
      <c r="F83" s="41"/>
      <c r="G83" s="41">
        <f>G79+G80</f>
        <v>354.32011499665066</v>
      </c>
      <c r="H83" s="41">
        <f>H79+H80</f>
        <v>363.90487374906303</v>
      </c>
      <c r="I83" s="41">
        <f>I79+I80</f>
        <v>369.8668831019914</v>
      </c>
      <c r="J83" s="41">
        <f>J79+J80</f>
        <v>374.035671631071</v>
      </c>
      <c r="K83" s="41">
        <f aca="true" t="shared" si="36" ref="K83:X83">K79+K80</f>
        <v>377.2572650394206</v>
      </c>
      <c r="L83" s="41">
        <f t="shared" si="36"/>
        <v>211.09122284307827</v>
      </c>
      <c r="M83" s="41">
        <f t="shared" si="36"/>
        <v>83.33863236206733</v>
      </c>
      <c r="N83" s="41">
        <f t="shared" si="36"/>
        <v>0</v>
      </c>
      <c r="O83" s="41">
        <f t="shared" si="36"/>
        <v>0</v>
      </c>
      <c r="P83" s="41">
        <f t="shared" si="36"/>
        <v>0</v>
      </c>
      <c r="Q83" s="41">
        <f t="shared" si="36"/>
        <v>0</v>
      </c>
      <c r="R83" s="41">
        <f t="shared" si="36"/>
        <v>0</v>
      </c>
      <c r="S83" s="41">
        <f t="shared" si="36"/>
        <v>0</v>
      </c>
      <c r="T83" s="42">
        <f t="shared" si="36"/>
        <v>0</v>
      </c>
      <c r="U83" s="41">
        <f t="shared" si="36"/>
        <v>0</v>
      </c>
      <c r="V83" s="41">
        <f t="shared" si="36"/>
        <v>0</v>
      </c>
      <c r="W83" s="41">
        <f t="shared" si="36"/>
        <v>0</v>
      </c>
      <c r="X83" s="41">
        <f t="shared" si="36"/>
        <v>0</v>
      </c>
    </row>
    <row r="84" spans="1:20" ht="12.75">
      <c r="A84" s="4"/>
      <c r="B84" s="4" t="s">
        <v>79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27"/>
    </row>
    <row r="85" ht="12.75">
      <c r="T85" s="26"/>
    </row>
    <row r="86" ht="12.75">
      <c r="T86" s="26"/>
    </row>
    <row r="87" spans="1:24" ht="12.75">
      <c r="A87" s="4" t="s">
        <v>45</v>
      </c>
      <c r="B87" t="s">
        <v>42</v>
      </c>
      <c r="E87" s="6"/>
      <c r="F87" s="6"/>
      <c r="G87" s="6">
        <f>G40+G45</f>
        <v>121.00000000000003</v>
      </c>
      <c r="H87" s="6">
        <f>H40+H45</f>
        <v>133.10000000000005</v>
      </c>
      <c r="I87" s="6">
        <f>I40+I45</f>
        <v>144.41350000000006</v>
      </c>
      <c r="J87" s="6">
        <f aca="true" t="shared" si="37" ref="J87:T87">J40+J45</f>
        <v>155.24451250000007</v>
      </c>
      <c r="K87" s="6">
        <f t="shared" si="37"/>
        <v>164.5591832500001</v>
      </c>
      <c r="L87" s="6">
        <f t="shared" si="37"/>
        <v>0</v>
      </c>
      <c r="M87" s="6">
        <f t="shared" si="37"/>
        <v>0</v>
      </c>
      <c r="N87" s="6">
        <f t="shared" si="37"/>
        <v>0</v>
      </c>
      <c r="O87" s="6">
        <f t="shared" si="37"/>
        <v>0</v>
      </c>
      <c r="P87" s="6">
        <f t="shared" si="37"/>
        <v>0</v>
      </c>
      <c r="Q87" s="6">
        <f t="shared" si="37"/>
        <v>0</v>
      </c>
      <c r="R87" s="6">
        <f t="shared" si="37"/>
        <v>0</v>
      </c>
      <c r="S87" s="6">
        <f t="shared" si="37"/>
        <v>0</v>
      </c>
      <c r="T87" s="27">
        <f t="shared" si="37"/>
        <v>0</v>
      </c>
      <c r="U87" s="6"/>
      <c r="V87" s="6"/>
      <c r="W87" s="6"/>
      <c r="X87" s="6"/>
    </row>
    <row r="88" spans="1:24" ht="12.75">
      <c r="A88" s="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27"/>
      <c r="U88" s="6"/>
      <c r="V88" s="6"/>
      <c r="W88" s="6"/>
      <c r="X88" s="6"/>
    </row>
    <row r="89" spans="1:24" ht="12.75">
      <c r="A89" s="4"/>
      <c r="B89" t="s">
        <v>80</v>
      </c>
      <c r="E89" s="6"/>
      <c r="F89" s="6"/>
      <c r="G89" s="6">
        <f>H23</f>
        <v>50.79340659340661</v>
      </c>
      <c r="H89" s="6">
        <f>I24</f>
        <v>55.87274725274728</v>
      </c>
      <c r="I89" s="6">
        <f>J25</f>
        <v>57.19625843496571</v>
      </c>
      <c r="J89" s="6">
        <f>K26</f>
        <v>59.05215131704469</v>
      </c>
      <c r="K89" s="6">
        <f>L27</f>
        <v>58.760658948274056</v>
      </c>
      <c r="L89" s="6">
        <f>M28</f>
        <v>0</v>
      </c>
      <c r="M89" s="6">
        <f>N29</f>
        <v>0</v>
      </c>
      <c r="N89" s="6">
        <f>O30</f>
        <v>0</v>
      </c>
      <c r="O89" s="6">
        <f>P31</f>
        <v>0</v>
      </c>
      <c r="P89" s="6">
        <f>Q32</f>
        <v>0</v>
      </c>
      <c r="Q89" s="6">
        <f>R33</f>
        <v>0</v>
      </c>
      <c r="R89" s="6">
        <f>S34</f>
        <v>0</v>
      </c>
      <c r="S89" s="6">
        <f>T35</f>
        <v>0</v>
      </c>
      <c r="T89" s="27">
        <f>U36</f>
        <v>0</v>
      </c>
      <c r="U89" s="6"/>
      <c r="V89" s="6"/>
      <c r="W89" s="6"/>
      <c r="X89" s="6"/>
    </row>
    <row r="90" spans="1:24" ht="12.75">
      <c r="A90" s="4"/>
      <c r="B90" t="s">
        <v>81</v>
      </c>
      <c r="E90" s="6"/>
      <c r="F90" s="6"/>
      <c r="G90" s="6">
        <f aca="true" t="shared" si="38" ref="G90:T90">G40</f>
        <v>24.200000000000006</v>
      </c>
      <c r="H90" s="6">
        <f t="shared" si="38"/>
        <v>26.620000000000008</v>
      </c>
      <c r="I90" s="6">
        <f t="shared" si="38"/>
        <v>28.88270000000001</v>
      </c>
      <c r="J90" s="6">
        <f t="shared" si="38"/>
        <v>31.048902500000015</v>
      </c>
      <c r="K90" s="6">
        <f t="shared" si="38"/>
        <v>32.91183665000002</v>
      </c>
      <c r="L90" s="6">
        <f t="shared" si="38"/>
        <v>0</v>
      </c>
      <c r="M90" s="6">
        <f t="shared" si="38"/>
        <v>0</v>
      </c>
      <c r="N90" s="6">
        <f t="shared" si="38"/>
        <v>0</v>
      </c>
      <c r="O90" s="6">
        <f t="shared" si="38"/>
        <v>0</v>
      </c>
      <c r="P90" s="6">
        <f t="shared" si="38"/>
        <v>0</v>
      </c>
      <c r="Q90" s="6">
        <f t="shared" si="38"/>
        <v>0</v>
      </c>
      <c r="R90" s="6">
        <f t="shared" si="38"/>
        <v>0</v>
      </c>
      <c r="S90" s="6">
        <f t="shared" si="38"/>
        <v>0</v>
      </c>
      <c r="T90" s="27">
        <f t="shared" si="38"/>
        <v>0</v>
      </c>
      <c r="U90" s="6"/>
      <c r="V90" s="6"/>
      <c r="W90" s="6"/>
      <c r="X90" s="6"/>
    </row>
    <row r="91" spans="1:24" ht="12.75">
      <c r="A91" s="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27"/>
      <c r="U91" s="6"/>
      <c r="V91" s="6"/>
      <c r="W91" s="6"/>
      <c r="X91" s="6"/>
    </row>
    <row r="92" spans="1:24" ht="12.75">
      <c r="A92" s="4"/>
      <c r="B92" s="2" t="s">
        <v>82</v>
      </c>
      <c r="C92" s="2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27"/>
      <c r="U92" s="6"/>
      <c r="V92" s="6"/>
      <c r="W92" s="6"/>
      <c r="X92" s="6"/>
    </row>
    <row r="93" spans="1:24" ht="12.75">
      <c r="A93" s="4"/>
      <c r="B93" s="4" t="s">
        <v>72</v>
      </c>
      <c r="C93" s="4"/>
      <c r="D93" s="15">
        <f>(1+$E$5)^1</f>
        <v>1.1</v>
      </c>
      <c r="E93" s="6"/>
      <c r="F93" s="6"/>
      <c r="G93" s="6">
        <f>H$23/$D93</f>
        <v>46.17582417582418</v>
      </c>
      <c r="H93" s="6">
        <f>I$24/$D93</f>
        <v>50.793406593406615</v>
      </c>
      <c r="I93" s="6">
        <f>J$25/$D93</f>
        <v>51.996598577241556</v>
      </c>
      <c r="J93" s="6">
        <f>K$26/$D93</f>
        <v>53.68377392458608</v>
      </c>
      <c r="K93" s="6">
        <f>L$27/$D93</f>
        <v>53.41878086206732</v>
      </c>
      <c r="L93" s="6">
        <f>M$28/$D93</f>
        <v>0</v>
      </c>
      <c r="M93" s="6">
        <f>N$29/$D93</f>
        <v>0</v>
      </c>
      <c r="N93" s="6">
        <f>O$30/$D93</f>
        <v>0</v>
      </c>
      <c r="O93" s="6">
        <f>P$31/D93</f>
        <v>0</v>
      </c>
      <c r="P93" s="6">
        <f>Q$32/D93</f>
        <v>0</v>
      </c>
      <c r="Q93" s="6">
        <f>R$33/D93</f>
        <v>0</v>
      </c>
      <c r="R93" s="6">
        <f>S$34/D93</f>
        <v>0</v>
      </c>
      <c r="S93" s="6">
        <f>T$35/D93</f>
        <v>0</v>
      </c>
      <c r="T93" s="27">
        <f>U$36/$D93</f>
        <v>0</v>
      </c>
      <c r="U93" s="6"/>
      <c r="V93" s="6"/>
      <c r="W93" s="6"/>
      <c r="X93" s="6"/>
    </row>
    <row r="94" spans="1:24" ht="12.75">
      <c r="A94" s="4"/>
      <c r="B94" s="4" t="s">
        <v>73</v>
      </c>
      <c r="D94" s="15">
        <f>(1+$E$5)^2</f>
        <v>1.2100000000000002</v>
      </c>
      <c r="E94" s="6"/>
      <c r="F94" s="6"/>
      <c r="G94" s="6">
        <f>IF($E4&gt;=2,H$23/$D94,0)</f>
        <v>41.978021978021985</v>
      </c>
      <c r="H94" s="6">
        <f>IF($E4&gt;=2,I$24/$D94,0)</f>
        <v>46.17582417582419</v>
      </c>
      <c r="I94" s="6">
        <f>IF($E4&gt;=2,J$25/$D94,0)</f>
        <v>47.26963507021959</v>
      </c>
      <c r="J94" s="6">
        <f>IF($E4&gt;=2,K$26/$D94,0)</f>
        <v>48.80343084053279</v>
      </c>
      <c r="K94" s="6">
        <f>IF($E4&gt;=2,L$27/$D94,0)</f>
        <v>48.56252805642483</v>
      </c>
      <c r="L94" s="6">
        <f>IF($E4&gt;=2,M$28/$D94,0)</f>
        <v>0</v>
      </c>
      <c r="M94" s="6">
        <f>IF($E4&gt;=2,N$29/$D94,0)</f>
        <v>0</v>
      </c>
      <c r="N94" s="6">
        <f>IF($E4&gt;=2,O$30/$D94,0)</f>
        <v>0</v>
      </c>
      <c r="O94" s="6">
        <f>IF($E4&gt;=2,P$31/$D94,0)</f>
        <v>0</v>
      </c>
      <c r="P94" s="6">
        <f>IF($E4&gt;=2,Q$32/$D94,0)</f>
        <v>0</v>
      </c>
      <c r="Q94" s="6">
        <f>IF($E4&gt;=2,R$33/$D94,0)</f>
        <v>0</v>
      </c>
      <c r="R94" s="6">
        <f>IF($E4&gt;=2,S$34/$D94,0)</f>
        <v>0</v>
      </c>
      <c r="S94" s="6">
        <f>IF($E4&gt;=2,T$35/$D94,0)</f>
        <v>0</v>
      </c>
      <c r="T94" s="27">
        <f>IF($E4&gt;=2,U$36/$D94,0)</f>
        <v>0</v>
      </c>
      <c r="U94" s="6"/>
      <c r="V94" s="6"/>
      <c r="W94" s="6"/>
      <c r="X94" s="6"/>
    </row>
    <row r="95" spans="1:24" ht="12.75">
      <c r="A95" s="4"/>
      <c r="B95" s="4" t="s">
        <v>74</v>
      </c>
      <c r="D95" s="15">
        <f>(1+$E$5)^3</f>
        <v>1.3310000000000004</v>
      </c>
      <c r="E95" s="6"/>
      <c r="F95" s="6"/>
      <c r="G95" s="6">
        <f>IF($E4&gt;=3,H$23/$D95,0)</f>
        <v>38.16183816183816</v>
      </c>
      <c r="H95" s="6">
        <f>IF($E4&gt;=3,I$24/$D95,0)</f>
        <v>41.978021978021985</v>
      </c>
      <c r="I95" s="6">
        <f>IF($E4&gt;=3,J$25/$D95,0)</f>
        <v>42.97239551838144</v>
      </c>
      <c r="J95" s="6">
        <f>IF($E4&gt;=3,K$26/$D95,0)</f>
        <v>44.36675530957526</v>
      </c>
      <c r="K95" s="6">
        <f>IF($E4&gt;=3,L$27/$D95,0)</f>
        <v>44.14775277856802</v>
      </c>
      <c r="L95" s="6">
        <f>IF($E4&gt;=3,M$28/$D95,0)</f>
        <v>0</v>
      </c>
      <c r="M95" s="6">
        <f>IF($E4&gt;=3,N$29/$D95,0)</f>
        <v>0</v>
      </c>
      <c r="N95" s="6">
        <f>IF($E4&gt;=3,O$30/$D95,0)</f>
        <v>0</v>
      </c>
      <c r="O95" s="6">
        <f>IF($E4&gt;=3,P$31/$D95,0)</f>
        <v>0</v>
      </c>
      <c r="P95" s="6">
        <f>IF($E4&gt;=3,Q$32/$D95,0)</f>
        <v>0</v>
      </c>
      <c r="Q95" s="6">
        <f>IF($E4&gt;=3,R$33/$D95,0)</f>
        <v>0</v>
      </c>
      <c r="R95" s="6">
        <f>IF($E4&gt;=3,S$34/$D95,0)</f>
        <v>0</v>
      </c>
      <c r="S95" s="6">
        <f>IF($E4&gt;=3,T$35/$D95,0)</f>
        <v>0</v>
      </c>
      <c r="T95" s="27">
        <f>IF($E4&gt;=3,U$36/$D95,0)</f>
        <v>0</v>
      </c>
      <c r="U95" s="6"/>
      <c r="V95" s="6"/>
      <c r="W95" s="6"/>
      <c r="X95" s="6"/>
    </row>
    <row r="96" spans="1:24" ht="12.75">
      <c r="A96" s="4"/>
      <c r="B96" s="4" t="s">
        <v>75</v>
      </c>
      <c r="D96" s="15">
        <f>(1+$E$5)^4</f>
        <v>1.4641000000000004</v>
      </c>
      <c r="E96" s="6"/>
      <c r="F96" s="6"/>
      <c r="G96" s="6">
        <f>IF($E4&gt;=4,H$23/$D96,0)</f>
        <v>0</v>
      </c>
      <c r="H96" s="6">
        <f>IF($E4&gt;=4,I$24/$D96,0)</f>
        <v>0</v>
      </c>
      <c r="I96" s="6">
        <f>IF($E4&gt;=4,J$25/$D96,0)</f>
        <v>0</v>
      </c>
      <c r="J96" s="6">
        <f>IF($E4&gt;=4,K$26/$D96,0)</f>
        <v>0</v>
      </c>
      <c r="K96" s="6">
        <f>IF($E4&gt;=4,L$27/$D96,0)</f>
        <v>0</v>
      </c>
      <c r="L96" s="6">
        <f>IF($E4&gt;=4,M$28/$D96,0)</f>
        <v>0</v>
      </c>
      <c r="M96" s="6">
        <f>IF($E4&gt;=4,N$29/$D96,0)</f>
        <v>0</v>
      </c>
      <c r="N96" s="6">
        <f>IF($E4&gt;=4,O$30/$D96,0)</f>
        <v>0</v>
      </c>
      <c r="O96" s="6">
        <f>IF($E4&gt;=4,P$31/$D96,0)</f>
        <v>0</v>
      </c>
      <c r="P96" s="6">
        <f>IF($E4&gt;=4,Q$32/$D96,0)</f>
        <v>0</v>
      </c>
      <c r="Q96" s="6">
        <f>IF($E4&gt;=4,R$33/$D96,0)</f>
        <v>0</v>
      </c>
      <c r="R96" s="6">
        <f>IF($E4&gt;=4,S$34/$D96,0)</f>
        <v>0</v>
      </c>
      <c r="S96" s="6">
        <f>IF($E4&gt;=4,T$35/$D96,0)</f>
        <v>0</v>
      </c>
      <c r="T96" s="27">
        <f>IF($E4&gt;=4,U$36/$D96,0)</f>
        <v>0</v>
      </c>
      <c r="U96" s="6"/>
      <c r="V96" s="6"/>
      <c r="W96" s="6"/>
      <c r="X96" s="6"/>
    </row>
    <row r="97" spans="1:24" ht="12.75">
      <c r="A97" s="4"/>
      <c r="B97" t="s">
        <v>83</v>
      </c>
      <c r="D97" s="15">
        <f>IF(E4=4,(1+$E$5)^4,IF(E4=3,(1+E5)^3))</f>
        <v>1.3310000000000004</v>
      </c>
      <c r="E97" s="6"/>
      <c r="F97" s="6"/>
      <c r="G97" s="6">
        <f aca="true" t="shared" si="39" ref="G97:T97">G40/$D97</f>
        <v>18.18181818181818</v>
      </c>
      <c r="H97" s="6">
        <f t="shared" si="39"/>
        <v>20</v>
      </c>
      <c r="I97" s="6">
        <f t="shared" si="39"/>
        <v>21.700000000000003</v>
      </c>
      <c r="J97" s="6">
        <f t="shared" si="39"/>
        <v>23.327500000000004</v>
      </c>
      <c r="K97" s="6">
        <f t="shared" si="39"/>
        <v>24.727150000000005</v>
      </c>
      <c r="L97" s="6">
        <f t="shared" si="39"/>
        <v>0</v>
      </c>
      <c r="M97" s="6">
        <f t="shared" si="39"/>
        <v>0</v>
      </c>
      <c r="N97" s="6">
        <f t="shared" si="39"/>
        <v>0</v>
      </c>
      <c r="O97" s="6">
        <f t="shared" si="39"/>
        <v>0</v>
      </c>
      <c r="P97" s="6">
        <f t="shared" si="39"/>
        <v>0</v>
      </c>
      <c r="Q97" s="6">
        <f t="shared" si="39"/>
        <v>0</v>
      </c>
      <c r="R97" s="6">
        <f t="shared" si="39"/>
        <v>0</v>
      </c>
      <c r="S97" s="6">
        <f t="shared" si="39"/>
        <v>0</v>
      </c>
      <c r="T97" s="27">
        <f t="shared" si="39"/>
        <v>0</v>
      </c>
      <c r="U97" s="6"/>
      <c r="V97" s="6"/>
      <c r="W97" s="6"/>
      <c r="X97" s="6"/>
    </row>
    <row r="98" spans="1:24" ht="12.75">
      <c r="A98" s="4" t="s">
        <v>47</v>
      </c>
      <c r="B98" t="s">
        <v>44</v>
      </c>
      <c r="E98" s="6"/>
      <c r="F98" s="6"/>
      <c r="G98" s="7">
        <f aca="true" t="shared" si="40" ref="G98:T98">SUM(G93:G97)</f>
        <v>144.4975024975025</v>
      </c>
      <c r="H98" s="7">
        <f t="shared" si="40"/>
        <v>158.94725274725278</v>
      </c>
      <c r="I98" s="7">
        <f t="shared" si="40"/>
        <v>163.9386291658426</v>
      </c>
      <c r="J98" s="7">
        <f t="shared" si="40"/>
        <v>170.18146007469414</v>
      </c>
      <c r="K98" s="7">
        <f t="shared" si="40"/>
        <v>170.85621169706016</v>
      </c>
      <c r="L98" s="7">
        <f t="shared" si="40"/>
        <v>0</v>
      </c>
      <c r="M98" s="7">
        <f t="shared" si="40"/>
        <v>0</v>
      </c>
      <c r="N98" s="7">
        <f t="shared" si="40"/>
        <v>0</v>
      </c>
      <c r="O98" s="7">
        <f t="shared" si="40"/>
        <v>0</v>
      </c>
      <c r="P98" s="7">
        <f t="shared" si="40"/>
        <v>0</v>
      </c>
      <c r="Q98" s="7">
        <f t="shared" si="40"/>
        <v>0</v>
      </c>
      <c r="R98" s="7">
        <f t="shared" si="40"/>
        <v>0</v>
      </c>
      <c r="S98" s="7">
        <f t="shared" si="40"/>
        <v>0</v>
      </c>
      <c r="T98" s="29">
        <f t="shared" si="40"/>
        <v>0</v>
      </c>
      <c r="U98" s="7"/>
      <c r="V98" s="7"/>
      <c r="W98" s="7"/>
      <c r="X98" s="7"/>
    </row>
    <row r="99" spans="1:24" ht="12.75">
      <c r="A99" s="4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27"/>
      <c r="U99" s="6"/>
      <c r="V99" s="6"/>
      <c r="W99" s="6"/>
      <c r="X99" s="6"/>
    </row>
    <row r="100" spans="1:24" ht="12.75">
      <c r="A100" s="4" t="s">
        <v>51</v>
      </c>
      <c r="B100" t="s">
        <v>84</v>
      </c>
      <c r="E100" s="9"/>
      <c r="F100" s="9"/>
      <c r="G100" s="11">
        <f aca="true" t="shared" si="41" ref="G100:X100">G98-G87</f>
        <v>23.497502497502467</v>
      </c>
      <c r="H100" s="11">
        <f t="shared" si="41"/>
        <v>25.847252747252725</v>
      </c>
      <c r="I100" s="11">
        <f t="shared" si="41"/>
        <v>19.525129165842543</v>
      </c>
      <c r="J100" s="11">
        <f t="shared" si="41"/>
        <v>14.936947574694074</v>
      </c>
      <c r="K100" s="11">
        <f t="shared" si="41"/>
        <v>6.2970284470600575</v>
      </c>
      <c r="L100" s="11">
        <f t="shared" si="41"/>
        <v>0</v>
      </c>
      <c r="M100" s="11">
        <f t="shared" si="41"/>
        <v>0</v>
      </c>
      <c r="N100" s="11">
        <f t="shared" si="41"/>
        <v>0</v>
      </c>
      <c r="O100" s="11">
        <f t="shared" si="41"/>
        <v>0</v>
      </c>
      <c r="P100" s="11">
        <f t="shared" si="41"/>
        <v>0</v>
      </c>
      <c r="Q100" s="11">
        <f t="shared" si="41"/>
        <v>0</v>
      </c>
      <c r="R100" s="11">
        <f t="shared" si="41"/>
        <v>0</v>
      </c>
      <c r="S100" s="11">
        <f t="shared" si="41"/>
        <v>0</v>
      </c>
      <c r="T100" s="27">
        <f t="shared" si="41"/>
        <v>0</v>
      </c>
      <c r="U100" s="11">
        <f t="shared" si="41"/>
        <v>0</v>
      </c>
      <c r="V100" s="11">
        <f t="shared" si="41"/>
        <v>0</v>
      </c>
      <c r="W100" s="11">
        <f t="shared" si="41"/>
        <v>0</v>
      </c>
      <c r="X100" s="11">
        <f t="shared" si="41"/>
        <v>0</v>
      </c>
    </row>
    <row r="101" spans="4:20" ht="12.75">
      <c r="D101" s="6"/>
      <c r="H101" s="6"/>
      <c r="T101" s="26"/>
    </row>
    <row r="102" spans="1:24" ht="12.75">
      <c r="A102" s="4" t="s">
        <v>54</v>
      </c>
      <c r="B102" t="s">
        <v>85</v>
      </c>
      <c r="G102" s="6">
        <f>NPV($E5,H100:$X100)</f>
        <v>55.15727783381353</v>
      </c>
      <c r="H102" s="6">
        <f>NPV($E5,I100:$X100)</f>
        <v>34.82575286994216</v>
      </c>
      <c r="I102" s="6">
        <f>NPV($E5,J100:$X100)</f>
        <v>18.78319899109383</v>
      </c>
      <c r="J102" s="6">
        <f>NPV($E5,K100:$X100)</f>
        <v>5.724571315509142</v>
      </c>
      <c r="K102" s="6">
        <f>NPV($E5,L100:$X100)</f>
        <v>0</v>
      </c>
      <c r="L102" s="6">
        <f>NPV($E5,M100:$X100)</f>
        <v>0</v>
      </c>
      <c r="M102" s="6">
        <f>NPV($E5,N100:$X100)</f>
        <v>0</v>
      </c>
      <c r="N102" s="6">
        <f>NPV($E5,O100:$X100)</f>
        <v>0</v>
      </c>
      <c r="O102" s="6">
        <f>NPV($E5,P100:$X100)</f>
        <v>0</v>
      </c>
      <c r="P102" s="6">
        <f>NPV($E5,Q100:$X100)</f>
        <v>0</v>
      </c>
      <c r="Q102" s="6">
        <f>NPV($E5,R100:$X100)</f>
        <v>0</v>
      </c>
      <c r="R102" s="6">
        <f>NPV($E5,S100:$X100)</f>
        <v>0</v>
      </c>
      <c r="S102" s="6">
        <f>NPV($E5,T100:$X100)</f>
        <v>0</v>
      </c>
      <c r="T102" s="27">
        <f>NPV($E5,U100:$X100)</f>
        <v>0</v>
      </c>
      <c r="U102" s="6">
        <f>NPV($E5,V100:$X100)</f>
        <v>0</v>
      </c>
      <c r="V102" s="6">
        <f>NPV($E5,W100:$X100)</f>
        <v>0</v>
      </c>
      <c r="W102" s="6">
        <f>NPV($E5,X100:$X100)</f>
        <v>0</v>
      </c>
      <c r="X102" s="6">
        <f>NPV($E5,$X100:Y100)</f>
        <v>0</v>
      </c>
    </row>
    <row r="103" spans="1:24" ht="12.75">
      <c r="A103" s="4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27"/>
      <c r="U103" s="6"/>
      <c r="V103" s="6"/>
      <c r="W103" s="6"/>
      <c r="X103" s="6"/>
    </row>
    <row r="104" ht="12.75">
      <c r="T104" s="26"/>
    </row>
    <row r="105" spans="2:24" s="38" customFormat="1" ht="18">
      <c r="B105" s="39" t="s">
        <v>86</v>
      </c>
      <c r="C105" s="39"/>
      <c r="D105" s="40"/>
      <c r="E105" s="41"/>
      <c r="F105" s="41"/>
      <c r="G105" s="41">
        <f aca="true" t="shared" si="42" ref="G105:X105">G77+G102</f>
        <v>354.3201149966507</v>
      </c>
      <c r="H105" s="41">
        <f>H77+H102</f>
        <v>363.9048737490631</v>
      </c>
      <c r="I105" s="41">
        <f t="shared" si="42"/>
        <v>369.8668831019914</v>
      </c>
      <c r="J105" s="41">
        <f t="shared" si="42"/>
        <v>374.03567163107107</v>
      </c>
      <c r="K105" s="41">
        <f t="shared" si="42"/>
        <v>377.2572650394206</v>
      </c>
      <c r="L105" s="41">
        <f t="shared" si="42"/>
        <v>211.09122284307827</v>
      </c>
      <c r="M105" s="41">
        <f t="shared" si="42"/>
        <v>83.33863236206733</v>
      </c>
      <c r="N105" s="41">
        <f t="shared" si="42"/>
        <v>0</v>
      </c>
      <c r="O105" s="41">
        <f t="shared" si="42"/>
        <v>0</v>
      </c>
      <c r="P105" s="41">
        <f t="shared" si="42"/>
        <v>0</v>
      </c>
      <c r="Q105" s="41">
        <f t="shared" si="42"/>
        <v>0</v>
      </c>
      <c r="R105" s="41">
        <f t="shared" si="42"/>
        <v>0</v>
      </c>
      <c r="S105" s="41">
        <f t="shared" si="42"/>
        <v>0</v>
      </c>
      <c r="T105" s="42">
        <f t="shared" si="42"/>
        <v>0</v>
      </c>
      <c r="U105" s="41">
        <f t="shared" si="42"/>
        <v>0</v>
      </c>
      <c r="V105" s="41">
        <f t="shared" si="42"/>
        <v>0</v>
      </c>
      <c r="W105" s="41">
        <f t="shared" si="42"/>
        <v>0</v>
      </c>
      <c r="X105" s="41">
        <f t="shared" si="42"/>
        <v>0</v>
      </c>
    </row>
    <row r="106" spans="2:20" ht="12.75">
      <c r="B106" s="4" t="s">
        <v>87</v>
      </c>
      <c r="T106" s="26"/>
    </row>
    <row r="107" ht="12.75">
      <c r="T107" s="26"/>
    </row>
    <row r="108" ht="12.75">
      <c r="T108" s="26"/>
    </row>
    <row r="109" spans="1:25" ht="12.75">
      <c r="A109" s="4" t="s">
        <v>88</v>
      </c>
      <c r="B109" t="s">
        <v>89</v>
      </c>
      <c r="H109" s="44">
        <f>IF(H105&gt;0,(H105+H47)/G105-1,"N/A")</f>
        <v>0.10000000000000009</v>
      </c>
      <c r="I109" s="44">
        <f>IF(I105&gt;0,(I105+I47)/H105-1,"N/A")</f>
        <v>0.10000000000000009</v>
      </c>
      <c r="J109" s="44">
        <f>IF(J105&gt;0,(J105+J47)/I105-1,"N/A")</f>
        <v>0.10000000000000009</v>
      </c>
      <c r="K109" s="44">
        <f aca="true" t="shared" si="43" ref="K109:X109">IF(K105&gt;0,(K105+K47)/J105-1,"N/A")</f>
        <v>0.10000000000000009</v>
      </c>
      <c r="L109" s="44">
        <f t="shared" si="43"/>
        <v>0.10000000000000009</v>
      </c>
      <c r="M109" s="44">
        <f t="shared" si="43"/>
        <v>0.10000000000000009</v>
      </c>
      <c r="N109" s="44" t="str">
        <f t="shared" si="43"/>
        <v>N/A</v>
      </c>
      <c r="O109" s="44" t="str">
        <f t="shared" si="43"/>
        <v>N/A</v>
      </c>
      <c r="P109" s="44" t="str">
        <f t="shared" si="43"/>
        <v>N/A</v>
      </c>
      <c r="Q109" s="44" t="str">
        <f t="shared" si="43"/>
        <v>N/A</v>
      </c>
      <c r="R109" s="44" t="str">
        <f t="shared" si="43"/>
        <v>N/A</v>
      </c>
      <c r="S109" s="44" t="str">
        <f t="shared" si="43"/>
        <v>N/A</v>
      </c>
      <c r="T109" s="45" t="str">
        <f t="shared" si="43"/>
        <v>N/A</v>
      </c>
      <c r="U109" s="44" t="str">
        <f t="shared" si="43"/>
        <v>N/A</v>
      </c>
      <c r="V109" s="44" t="str">
        <f t="shared" si="43"/>
        <v>N/A</v>
      </c>
      <c r="W109" s="44" t="str">
        <f t="shared" si="43"/>
        <v>N/A</v>
      </c>
      <c r="X109" s="44" t="str">
        <f t="shared" si="43"/>
        <v>N/A</v>
      </c>
      <c r="Y109" s="18"/>
    </row>
    <row r="110" ht="12.75">
      <c r="T110" s="26"/>
    </row>
    <row r="111" spans="1:13" ht="12.75">
      <c r="A111" t="s">
        <v>90</v>
      </c>
      <c r="B111" t="s">
        <v>55</v>
      </c>
      <c r="H111" s="116">
        <f aca="true" t="shared" si="44" ref="H111:M111">H102/H105</f>
        <v>0.09570015512888365</v>
      </c>
      <c r="I111" s="116">
        <f t="shared" si="44"/>
        <v>0.05078367339504233</v>
      </c>
      <c r="J111" s="116">
        <f t="shared" si="44"/>
        <v>0.015304880656290867</v>
      </c>
      <c r="K111" s="116">
        <f t="shared" si="44"/>
        <v>0</v>
      </c>
      <c r="L111" s="116">
        <f t="shared" si="44"/>
        <v>0</v>
      </c>
      <c r="M111" s="116">
        <f t="shared" si="44"/>
        <v>0</v>
      </c>
    </row>
    <row r="112" spans="2:24" ht="12.75">
      <c r="B112" t="s">
        <v>91</v>
      </c>
      <c r="G112" s="13">
        <f>IF(AND(G105-G83&lt;0.01,G105-G83&gt;-0.01),IF(AND(G105-G58&lt;0.01,G105-G58&gt;-0.01),"","ERROR"))</f>
      </c>
      <c r="H112" s="13">
        <f>IF(AND(H$105-H83&lt;=0.01,H$105-H83&gt;=-0.01),"","ERROR")</f>
      </c>
      <c r="I112" s="13">
        <f aca="true" t="shared" si="45" ref="I112:X112">IF(AND(I$105-I83&lt;=0.01,I$105-I83&gt;=-0.01),"","ERROR")</f>
      </c>
      <c r="J112" s="13">
        <f t="shared" si="45"/>
      </c>
      <c r="K112" s="13">
        <f t="shared" si="45"/>
      </c>
      <c r="L112" s="13">
        <f t="shared" si="45"/>
      </c>
      <c r="M112" s="13">
        <f t="shared" si="45"/>
      </c>
      <c r="N112" s="13">
        <f t="shared" si="45"/>
      </c>
      <c r="O112" s="13">
        <f t="shared" si="45"/>
      </c>
      <c r="P112" s="13">
        <f t="shared" si="45"/>
      </c>
      <c r="Q112" s="13">
        <f t="shared" si="45"/>
      </c>
      <c r="R112" s="13">
        <f t="shared" si="45"/>
      </c>
      <c r="S112" s="13">
        <f t="shared" si="45"/>
      </c>
      <c r="T112" s="13">
        <f t="shared" si="45"/>
      </c>
      <c r="U112" s="13">
        <f t="shared" si="45"/>
      </c>
      <c r="V112" s="13">
        <f t="shared" si="45"/>
      </c>
      <c r="W112" s="13">
        <f t="shared" si="45"/>
      </c>
      <c r="X112" s="13">
        <f t="shared" si="45"/>
      </c>
    </row>
    <row r="113" spans="8:24" ht="12.75">
      <c r="H113" s="13">
        <f>IF(AND(H$105-H58&lt;=0.01,H$105-H58&gt;=-0.01),"","ERROR")</f>
      </c>
      <c r="I113" s="13">
        <f aca="true" t="shared" si="46" ref="I113:X113">IF(AND(I$105-I58&lt;=0.01,I$105-I58&gt;=-0.01),"","ERROR")</f>
      </c>
      <c r="J113" s="13">
        <f t="shared" si="46"/>
      </c>
      <c r="K113" s="13">
        <f t="shared" si="46"/>
      </c>
      <c r="L113" s="13">
        <f t="shared" si="46"/>
      </c>
      <c r="M113" s="13">
        <f t="shared" si="46"/>
      </c>
      <c r="N113" s="13">
        <f t="shared" si="46"/>
      </c>
      <c r="O113" s="13">
        <f t="shared" si="46"/>
      </c>
      <c r="P113" s="13">
        <f t="shared" si="46"/>
      </c>
      <c r="Q113" s="13">
        <f t="shared" si="46"/>
      </c>
      <c r="R113" s="13">
        <f t="shared" si="46"/>
      </c>
      <c r="S113" s="13">
        <f t="shared" si="46"/>
      </c>
      <c r="T113" s="13">
        <f t="shared" si="46"/>
      </c>
      <c r="U113" s="13">
        <f t="shared" si="46"/>
      </c>
      <c r="V113" s="13">
        <f t="shared" si="46"/>
      </c>
      <c r="W113" s="13">
        <f t="shared" si="46"/>
      </c>
      <c r="X113" s="13">
        <f t="shared" si="46"/>
      </c>
    </row>
    <row r="130" ht="12.75">
      <c r="I130" s="9"/>
    </row>
    <row r="131" ht="12.75">
      <c r="I131" s="9"/>
    </row>
    <row r="132" ht="12.75">
      <c r="I132" s="9"/>
    </row>
    <row r="133" ht="12.75">
      <c r="I133" s="9"/>
    </row>
    <row r="134" ht="12.75">
      <c r="I134" s="9"/>
    </row>
    <row r="135" ht="12.75">
      <c r="I135" s="9"/>
    </row>
    <row r="136" ht="12.75">
      <c r="I136" s="9"/>
    </row>
    <row r="137" ht="12.75">
      <c r="I137" s="9"/>
    </row>
    <row r="138" ht="12.75">
      <c r="I138" s="9"/>
    </row>
    <row r="139" ht="12.75">
      <c r="I139" s="9"/>
    </row>
    <row r="140" ht="12.75">
      <c r="I140" s="9"/>
    </row>
    <row r="141" ht="12.75">
      <c r="I141" s="9"/>
    </row>
    <row r="142" ht="12.75">
      <c r="I142" s="9"/>
    </row>
    <row r="143" ht="12.75">
      <c r="I143" s="9"/>
    </row>
    <row r="144" ht="12.75">
      <c r="I144" s="9"/>
    </row>
    <row r="145" ht="12.75">
      <c r="I145" s="9"/>
    </row>
    <row r="146" ht="12.75">
      <c r="I146" s="9"/>
    </row>
    <row r="147" ht="12.75">
      <c r="I147" s="9"/>
    </row>
    <row r="148" ht="12.75">
      <c r="I148" s="9"/>
    </row>
    <row r="149" ht="12.75">
      <c r="I149" s="9"/>
    </row>
    <row r="150" ht="12.75">
      <c r="I150" s="9"/>
    </row>
    <row r="151" ht="12.75">
      <c r="I151" s="9"/>
    </row>
    <row r="152" ht="12.75">
      <c r="I152" s="9"/>
    </row>
    <row r="153" ht="12.75">
      <c r="I153" s="9"/>
    </row>
    <row r="154" ht="12.75">
      <c r="I154" s="9"/>
    </row>
    <row r="155" ht="12.75">
      <c r="I155" s="9"/>
    </row>
    <row r="156" ht="12.75">
      <c r="I156" s="9"/>
    </row>
    <row r="157" ht="12.75">
      <c r="I157" s="9"/>
    </row>
    <row r="158" ht="12.75">
      <c r="I158" s="9"/>
    </row>
    <row r="159" ht="12.75">
      <c r="I159" s="9"/>
    </row>
    <row r="160" ht="12.75">
      <c r="I160" s="9"/>
    </row>
    <row r="161" ht="12.75">
      <c r="I161" s="9"/>
    </row>
    <row r="162" ht="12.75">
      <c r="I162" s="9"/>
    </row>
    <row r="163" ht="12.75">
      <c r="I163" s="9"/>
    </row>
    <row r="164" ht="12.75">
      <c r="I164" s="9"/>
    </row>
    <row r="165" ht="12.75">
      <c r="I165" s="9"/>
    </row>
    <row r="166" ht="12.75">
      <c r="I166" s="9"/>
    </row>
    <row r="167" ht="12.75">
      <c r="I167" s="9"/>
    </row>
    <row r="168" ht="12.75">
      <c r="I168" s="9"/>
    </row>
    <row r="169" ht="12.75">
      <c r="I169" s="9"/>
    </row>
    <row r="170" ht="12.75">
      <c r="I170" s="9"/>
    </row>
    <row r="171" ht="12.75">
      <c r="I171" s="9"/>
    </row>
    <row r="172" ht="12.75">
      <c r="I172" s="9"/>
    </row>
    <row r="173" ht="12.75">
      <c r="I173" s="9"/>
    </row>
    <row r="174" ht="12.75">
      <c r="I174" s="9"/>
    </row>
    <row r="175" ht="12.75">
      <c r="I175" s="9"/>
    </row>
    <row r="176" ht="12.75">
      <c r="I176" s="9"/>
    </row>
    <row r="177" ht="12.75">
      <c r="I177" s="9"/>
    </row>
    <row r="178" ht="12.75">
      <c r="I178" s="9"/>
    </row>
    <row r="179" ht="12.75">
      <c r="I179" s="9"/>
    </row>
  </sheetData>
  <printOptions/>
  <pageMargins left="0.75" right="0.75" top="1" bottom="1" header="0.5" footer="0.5"/>
  <pageSetup fitToHeight="0" fitToWidth="1" horizontalDpi="300" verticalDpi="300" orientation="landscape" scale="53" r:id="rId1"/>
  <rowBreaks count="1" manualBreakCount="1">
    <brk id="60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1.140625" style="0" customWidth="1"/>
    <col min="3" max="4" width="10.421875" style="0" customWidth="1"/>
    <col min="5" max="5" width="11.421875" style="0" customWidth="1"/>
    <col min="6" max="6" width="12.00390625" style="0" customWidth="1"/>
  </cols>
  <sheetData>
    <row r="1" spans="1:7" ht="12.75">
      <c r="A1" s="13" t="s">
        <v>29</v>
      </c>
      <c r="B1" s="1" t="s">
        <v>92</v>
      </c>
      <c r="C1" s="10" t="s">
        <v>93</v>
      </c>
      <c r="D1" s="10"/>
      <c r="E1" s="10"/>
      <c r="F1" s="10"/>
      <c r="G1" s="1" t="s">
        <v>94</v>
      </c>
    </row>
    <row r="2" spans="2:8" ht="12.75">
      <c r="B2" s="1" t="s">
        <v>95</v>
      </c>
      <c r="C2" s="16">
        <v>1</v>
      </c>
      <c r="D2" s="16">
        <v>2</v>
      </c>
      <c r="E2" s="16">
        <v>3</v>
      </c>
      <c r="G2" s="16" t="s">
        <v>96</v>
      </c>
      <c r="H2" s="16" t="s">
        <v>29</v>
      </c>
    </row>
    <row r="3" spans="2:8" ht="12.75">
      <c r="B3" s="3"/>
      <c r="C3" s="7"/>
      <c r="D3" s="7"/>
      <c r="E3" s="7"/>
      <c r="F3" s="7"/>
      <c r="G3" s="7"/>
      <c r="H3" s="7"/>
    </row>
    <row r="4" spans="1:8" ht="12.75">
      <c r="A4">
        <v>2</v>
      </c>
      <c r="B4" s="12">
        <f>-WORKSHEET!E51</f>
        <v>-100</v>
      </c>
      <c r="C4" s="12">
        <f>WORKSHEET!F$38</f>
        <v>41.978021978021985</v>
      </c>
      <c r="D4" s="12">
        <f aca="true" t="shared" si="0" ref="D4:D22">C4</f>
        <v>41.978021978021985</v>
      </c>
      <c r="E4" s="12">
        <f>IF(WORKSHEET!$E$4=3,D4+CFROI!G4,D4)</f>
        <v>61.978021978021985</v>
      </c>
      <c r="F4" s="12">
        <f>IF(WORKSHEET!$E$4&lt;4,0,CFROI!E4+CFROI!G4)</f>
        <v>0</v>
      </c>
      <c r="G4" s="12">
        <f>WORKSHEET!E$50</f>
        <v>20</v>
      </c>
      <c r="H4" s="5">
        <f>IRR(B4:F4)</f>
        <v>0.19999999999569804</v>
      </c>
    </row>
    <row r="5" spans="1:8" ht="12.75">
      <c r="A5">
        <f>A4+1</f>
        <v>3</v>
      </c>
      <c r="B5" s="12">
        <f>-WORKSHEET!F51</f>
        <v>-210</v>
      </c>
      <c r="C5" s="12">
        <f>WORKSHEET!G$38</f>
        <v>88.15384615384616</v>
      </c>
      <c r="D5" s="12">
        <f t="shared" si="0"/>
        <v>88.15384615384616</v>
      </c>
      <c r="E5" s="12">
        <f>IF(WORKSHEET!$E$4=3,D5+CFROI!G5,D5)</f>
        <v>130.15384615384616</v>
      </c>
      <c r="F5" s="12">
        <f>IF(WORKSHEET!$E$4&lt;4,0,CFROI!E5+CFROI!G5)</f>
        <v>0</v>
      </c>
      <c r="G5" s="12">
        <f>WORKSHEET!F$50</f>
        <v>42</v>
      </c>
      <c r="H5" s="5">
        <f aca="true" t="shared" si="1" ref="H5:H20">IRR(B5:F5)</f>
        <v>0.1999999999956978</v>
      </c>
    </row>
    <row r="6" spans="1:8" ht="12.75">
      <c r="A6">
        <f aca="true" t="shared" si="2" ref="A6:A21">A5+1</f>
        <v>4</v>
      </c>
      <c r="B6" s="12">
        <f>-WORKSHEET!G$51</f>
        <v>-331</v>
      </c>
      <c r="C6" s="12">
        <f>WORKSHEET!H$38</f>
        <v>138.94725274725278</v>
      </c>
      <c r="D6" s="12">
        <f t="shared" si="0"/>
        <v>138.94725274725278</v>
      </c>
      <c r="E6" s="12">
        <f>IF(WORKSHEET!$E$4=3,D6+CFROI!G6,D6)</f>
        <v>205.14725274725276</v>
      </c>
      <c r="F6" s="12">
        <f>IF(WORKSHEET!$E$4&lt;4,0,CFROI!E6+CFROI!G6)</f>
        <v>0</v>
      </c>
      <c r="G6" s="12">
        <f>WORKSHEET!G$50</f>
        <v>66.2</v>
      </c>
      <c r="H6" s="5">
        <f t="shared" si="1"/>
        <v>0.19999999999569798</v>
      </c>
    </row>
    <row r="7" spans="1:8" ht="12.75">
      <c r="A7">
        <f t="shared" si="2"/>
        <v>5</v>
      </c>
      <c r="B7" s="12">
        <f>-WORKSHEET!H$51</f>
        <v>-364.1000000000001</v>
      </c>
      <c r="C7" s="12">
        <f>WORKSHEET!I$38</f>
        <v>152.84197802197806</v>
      </c>
      <c r="D7" s="12">
        <f t="shared" si="0"/>
        <v>152.84197802197806</v>
      </c>
      <c r="E7" s="12">
        <f>IF(WORKSHEET!$E$4=3,D7+CFROI!G7,D7)</f>
        <v>225.6619780219781</v>
      </c>
      <c r="F7" s="12">
        <f>IF(WORKSHEET!$E$4&lt;4,0,CFROI!E7+CFROI!G7)</f>
        <v>0</v>
      </c>
      <c r="G7" s="12">
        <f>WORKSHEET!H$50</f>
        <v>72.82000000000001</v>
      </c>
      <c r="H7" s="5">
        <f t="shared" si="1"/>
        <v>0.19999999999569779</v>
      </c>
    </row>
    <row r="8" spans="1:8" ht="12.75">
      <c r="A8">
        <f t="shared" si="2"/>
        <v>6</v>
      </c>
      <c r="B8" s="12">
        <f>-WORKSHEET!I$51</f>
        <v>-398.51350000000014</v>
      </c>
      <c r="C8" s="12">
        <f>WORKSHEET!J$38</f>
        <v>163.8624122811196</v>
      </c>
      <c r="D8" s="12">
        <f t="shared" si="0"/>
        <v>163.8624122811196</v>
      </c>
      <c r="E8" s="12">
        <f>IF(WORKSHEET!$E$4=3,D8+CFROI!G8,D8)</f>
        <v>243.5651122811196</v>
      </c>
      <c r="F8" s="12">
        <f>IF(WORKSHEET!$E$4&lt;4,0,CFROI!E8+CFROI!G8)</f>
        <v>0</v>
      </c>
      <c r="G8" s="12">
        <f>WORKSHEET!I$50</f>
        <v>79.70270000000002</v>
      </c>
      <c r="H8" s="5">
        <f t="shared" si="1"/>
        <v>0.18916380966218746</v>
      </c>
    </row>
    <row r="9" spans="1:8" ht="12.75">
      <c r="A9">
        <f t="shared" si="2"/>
        <v>7</v>
      </c>
      <c r="B9" s="12">
        <f>-WORKSHEET!J$51</f>
        <v>-432.7580125000002</v>
      </c>
      <c r="C9" s="12">
        <f>WORKSHEET!K$38</f>
        <v>172.1211570047577</v>
      </c>
      <c r="D9" s="12">
        <f t="shared" si="0"/>
        <v>172.1211570047577</v>
      </c>
      <c r="E9" s="12">
        <f>IF(WORKSHEET!$E$4=3,D9+CFROI!G9,D9)</f>
        <v>258.6727595047577</v>
      </c>
      <c r="F9" s="12">
        <f>IF(WORKSHEET!$E$4&lt;4,0,CFROI!E9+CFROI!G9)</f>
        <v>0</v>
      </c>
      <c r="G9" s="12">
        <f>WORKSHEET!J$50</f>
        <v>86.55160250000003</v>
      </c>
      <c r="H9" s="5">
        <f t="shared" si="1"/>
        <v>0.1721244078240264</v>
      </c>
    </row>
    <row r="10" spans="1:8" ht="12.75">
      <c r="A10">
        <f t="shared" si="2"/>
        <v>8</v>
      </c>
      <c r="B10" s="12">
        <f>-WORKSHEET!K$51</f>
        <v>-464.21719575000026</v>
      </c>
      <c r="C10" s="12">
        <f>WORKSHEET!L$38</f>
        <v>175.00906870028444</v>
      </c>
      <c r="D10" s="12">
        <f t="shared" si="0"/>
        <v>175.00906870028444</v>
      </c>
      <c r="E10" s="12">
        <f>IF(WORKSHEET!$E$4=3,D10+CFROI!G10,D10)</f>
        <v>267.8525078502845</v>
      </c>
      <c r="F10" s="12">
        <f>IF(WORKSHEET!$E$4&lt;4,0,CFROI!E10+CFROI!G10)</f>
        <v>0</v>
      </c>
      <c r="G10" s="12">
        <f>WORKSHEET!K$50</f>
        <v>92.84343915000004</v>
      </c>
      <c r="H10" s="5">
        <f t="shared" si="1"/>
        <v>0.14566489146098652</v>
      </c>
    </row>
    <row r="11" spans="1:8" ht="12.75">
      <c r="A11">
        <f t="shared" si="2"/>
        <v>9</v>
      </c>
      <c r="B11" s="12">
        <f>-WORKSHEET!L$51</f>
        <v>-319.80369575000014</v>
      </c>
      <c r="C11" s="12">
        <f>WORKSHEET!M$38</f>
        <v>117.81281026531875</v>
      </c>
      <c r="D11" s="12">
        <f t="shared" si="0"/>
        <v>117.81281026531875</v>
      </c>
      <c r="E11" s="12">
        <f>IF(WORKSHEET!$E$4=3,D11+CFROI!G11,D11)</f>
        <v>181.77354941531877</v>
      </c>
      <c r="F11" s="12">
        <f>IF(WORKSHEET!$E$4&lt;4,0,CFROI!E11+CFROI!G11)</f>
        <v>0</v>
      </c>
      <c r="G11" s="12">
        <f>WORKSHEET!L$50</f>
        <v>63.96073915000002</v>
      </c>
      <c r="H11" s="5">
        <f t="shared" si="1"/>
        <v>0.1346050832965551</v>
      </c>
    </row>
    <row r="12" spans="1:8" ht="12.75">
      <c r="A12">
        <f t="shared" si="2"/>
        <v>10</v>
      </c>
      <c r="B12" s="12">
        <f>-WORKSHEET!M$51</f>
        <v>-164.5591832500001</v>
      </c>
      <c r="C12" s="12">
        <f>WORKSHEET!N$38</f>
        <v>58.760658948274056</v>
      </c>
      <c r="D12" s="12">
        <f t="shared" si="0"/>
        <v>58.760658948274056</v>
      </c>
      <c r="E12" s="12">
        <f>IF(WORKSHEET!$E$4=3,D12+CFROI!G12,D12)</f>
        <v>91.67249559827407</v>
      </c>
      <c r="F12" s="12">
        <f>IF(WORKSHEET!$E$4&lt;4,0,CFROI!E12+CFROI!G12)</f>
        <v>0</v>
      </c>
      <c r="G12" s="12">
        <f>WORKSHEET!M$50</f>
        <v>32.91183665000001</v>
      </c>
      <c r="H12" s="5">
        <f t="shared" si="1"/>
        <v>0.11999999999962706</v>
      </c>
    </row>
    <row r="13" spans="1:8" ht="12.75">
      <c r="A13">
        <f t="shared" si="2"/>
        <v>11</v>
      </c>
      <c r="B13" s="12">
        <f>-WORKSHEET!N$51</f>
        <v>7.105427357601002E-15</v>
      </c>
      <c r="C13" s="12">
        <f>WORKSHEET!O$38</f>
        <v>0</v>
      </c>
      <c r="D13" s="12">
        <f t="shared" si="0"/>
        <v>0</v>
      </c>
      <c r="E13" s="12">
        <f>IF(WORKSHEET!$E$4=3,D13+CFROI!G13,D13)</f>
        <v>-7.105427357601002E-15</v>
      </c>
      <c r="F13" s="12">
        <f>IF(WORKSHEET!$E$4&lt;4,0,CFROI!E13+CFROI!G13)</f>
        <v>0</v>
      </c>
      <c r="G13" s="12">
        <f>WORKSHEET!N$50</f>
        <v>-7.105427357601002E-15</v>
      </c>
      <c r="H13" s="5">
        <f t="shared" si="1"/>
        <v>2.228637760924696E-15</v>
      </c>
    </row>
    <row r="14" spans="1:8" ht="12.75">
      <c r="A14">
        <f t="shared" si="2"/>
        <v>12</v>
      </c>
      <c r="B14" s="12">
        <f>-WORKSHEET!O$51</f>
        <v>7.105427357601002E-15</v>
      </c>
      <c r="C14" s="12">
        <f>WORKSHEET!P$38</f>
        <v>0</v>
      </c>
      <c r="D14" s="12">
        <f t="shared" si="0"/>
        <v>0</v>
      </c>
      <c r="E14" s="12">
        <f>IF(WORKSHEET!$E$4=3,D14+CFROI!G14,D14)</f>
        <v>-7.105427357601002E-15</v>
      </c>
      <c r="F14" s="12">
        <f>IF(WORKSHEET!$E$4&lt;4,0,CFROI!E14+CFROI!G14)</f>
        <v>0</v>
      </c>
      <c r="G14" s="12">
        <f>WORKSHEET!O$50</f>
        <v>-7.105427357601002E-15</v>
      </c>
      <c r="H14" s="5">
        <f t="shared" si="1"/>
        <v>2.228637760924696E-15</v>
      </c>
    </row>
    <row r="15" spans="1:8" ht="12.75">
      <c r="A15">
        <f t="shared" si="2"/>
        <v>13</v>
      </c>
      <c r="B15" s="12">
        <f>-WORKSHEET!P$51</f>
        <v>7.105427357601002E-15</v>
      </c>
      <c r="C15" s="12">
        <f>WORKSHEET!Q$38</f>
        <v>0</v>
      </c>
      <c r="D15" s="12">
        <f t="shared" si="0"/>
        <v>0</v>
      </c>
      <c r="E15" s="12">
        <f>IF(WORKSHEET!$E$4=3,D15+CFROI!G15,D15)</f>
        <v>-7.105427357601002E-15</v>
      </c>
      <c r="F15" s="12">
        <f>IF(WORKSHEET!$E$4&lt;4,0,CFROI!E15+CFROI!G15)</f>
        <v>0</v>
      </c>
      <c r="G15" s="12">
        <f>WORKSHEET!P$50</f>
        <v>-7.105427357601002E-15</v>
      </c>
      <c r="H15" s="5">
        <f t="shared" si="1"/>
        <v>2.228637760924696E-15</v>
      </c>
    </row>
    <row r="16" spans="1:8" ht="12.75">
      <c r="A16">
        <f t="shared" si="2"/>
        <v>14</v>
      </c>
      <c r="B16" s="12">
        <f>-WORKSHEET!Q$51</f>
        <v>7.105427357601002E-15</v>
      </c>
      <c r="C16" s="12">
        <f>WORKSHEET!R$38</f>
        <v>0</v>
      </c>
      <c r="D16" s="12">
        <f t="shared" si="0"/>
        <v>0</v>
      </c>
      <c r="E16" s="12">
        <f>IF(WORKSHEET!$E$4=3,D16+CFROI!G16,D16)</f>
        <v>-7.105427357601002E-15</v>
      </c>
      <c r="F16" s="12">
        <f>IF(WORKSHEET!$E$4&lt;4,0,CFROI!E16+CFROI!G16)</f>
        <v>0</v>
      </c>
      <c r="G16" s="12">
        <f>WORKSHEET!Q$50</f>
        <v>-7.105427357601002E-15</v>
      </c>
      <c r="H16" s="5">
        <f t="shared" si="1"/>
        <v>2.228637760924696E-15</v>
      </c>
    </row>
    <row r="17" spans="1:8" ht="12.75">
      <c r="A17">
        <f t="shared" si="2"/>
        <v>15</v>
      </c>
      <c r="B17" s="12">
        <f>-WORKSHEET!R$51</f>
        <v>7.105427357601002E-15</v>
      </c>
      <c r="C17" s="12">
        <f>WORKSHEET!S$38</f>
        <v>0</v>
      </c>
      <c r="D17" s="12">
        <f t="shared" si="0"/>
        <v>0</v>
      </c>
      <c r="E17" s="12">
        <f>IF(WORKSHEET!$E$4=3,D17+CFROI!G17,D17)</f>
        <v>-7.105427357601002E-15</v>
      </c>
      <c r="F17" s="12">
        <f>IF(WORKSHEET!$E$4&lt;4,0,CFROI!E17+CFROI!G17)</f>
        <v>0</v>
      </c>
      <c r="G17" s="12">
        <f>WORKSHEET!R$50</f>
        <v>-7.105427357601002E-15</v>
      </c>
      <c r="H17" s="5">
        <f>IRR(B17:F17)</f>
        <v>2.228637760924696E-15</v>
      </c>
    </row>
    <row r="18" spans="1:8" ht="12.75">
      <c r="A18">
        <f t="shared" si="2"/>
        <v>16</v>
      </c>
      <c r="B18" s="12">
        <f>-WORKSHEET!S$51</f>
        <v>7.105427357601002E-15</v>
      </c>
      <c r="C18" s="12">
        <f>WORKSHEET!T$38</f>
        <v>0</v>
      </c>
      <c r="D18" s="12">
        <f t="shared" si="0"/>
        <v>0</v>
      </c>
      <c r="E18" s="12">
        <f>IF(WORKSHEET!$E$4=3,D18+CFROI!G18,D18)</f>
        <v>-7.105427357601002E-15</v>
      </c>
      <c r="F18" s="12">
        <f>IF(WORKSHEET!$E$4&lt;4,0,CFROI!E18+CFROI!G18)</f>
        <v>0</v>
      </c>
      <c r="G18" s="12">
        <f>WORKSHEET!S$50</f>
        <v>-7.105427357601002E-15</v>
      </c>
      <c r="H18" s="5">
        <f t="shared" si="1"/>
        <v>2.228637760924696E-15</v>
      </c>
    </row>
    <row r="19" spans="1:8" ht="12.75">
      <c r="A19">
        <f t="shared" si="2"/>
        <v>17</v>
      </c>
      <c r="B19" s="12">
        <f>-WORKSHEET!T$51</f>
        <v>7.105427357601002E-15</v>
      </c>
      <c r="C19" s="12">
        <f>WORKSHEET!U$38</f>
        <v>0</v>
      </c>
      <c r="D19" s="12">
        <f t="shared" si="0"/>
        <v>0</v>
      </c>
      <c r="E19" s="12">
        <f>IF(WORKSHEET!$E$4=3,D19+CFROI!G19,D19)</f>
        <v>-7.105427357601002E-15</v>
      </c>
      <c r="F19" s="12">
        <f>IF(WORKSHEET!$E$4&lt;4,0,CFROI!E19+CFROI!G19)</f>
        <v>0</v>
      </c>
      <c r="G19" s="12">
        <f>WORKSHEET!T$50</f>
        <v>-7.105427357601002E-15</v>
      </c>
      <c r="H19" s="5">
        <f t="shared" si="1"/>
        <v>2.228637760924696E-15</v>
      </c>
    </row>
    <row r="20" spans="1:8" ht="12.75">
      <c r="A20">
        <f t="shared" si="2"/>
        <v>18</v>
      </c>
      <c r="B20" s="12">
        <f>-WORKSHEET!U$51</f>
        <v>7.105427357601002E-15</v>
      </c>
      <c r="C20" s="12">
        <f>WORKSHEET!V$38</f>
        <v>0</v>
      </c>
      <c r="D20" s="12">
        <f t="shared" si="0"/>
        <v>0</v>
      </c>
      <c r="E20" s="12">
        <f>IF(WORKSHEET!$E$4=3,D20+CFROI!G20,D20)</f>
        <v>-7.105427357601002E-15</v>
      </c>
      <c r="F20" s="12">
        <f>IF(WORKSHEET!$E$4&lt;4,0,CFROI!E20+CFROI!G20)</f>
        <v>0</v>
      </c>
      <c r="G20" s="12">
        <f>WORKSHEET!U$50</f>
        <v>-7.105427357601002E-15</v>
      </c>
      <c r="H20" s="5">
        <f t="shared" si="1"/>
        <v>2.228637760924696E-15</v>
      </c>
    </row>
    <row r="21" spans="1:8" ht="12.75">
      <c r="A21">
        <f t="shared" si="2"/>
        <v>19</v>
      </c>
      <c r="B21" s="12">
        <f>-WORKSHEET!V$51</f>
        <v>7.105427357601002E-15</v>
      </c>
      <c r="C21" s="12">
        <f>WORKSHEET!W$38</f>
        <v>0</v>
      </c>
      <c r="D21" s="12">
        <f t="shared" si="0"/>
        <v>0</v>
      </c>
      <c r="E21" s="12">
        <f>IF(WORKSHEET!$E$4=3,D21+CFROI!G21,D21)</f>
        <v>-7.105427357601002E-15</v>
      </c>
      <c r="F21" s="12">
        <f>IF(WORKSHEET!$E$4&lt;4,0,CFROI!E21+CFROI!G21)</f>
        <v>0</v>
      </c>
      <c r="G21" s="12">
        <f>WORKSHEET!V$50</f>
        <v>-7.105427357601002E-15</v>
      </c>
      <c r="H21" s="5">
        <f>IRR(B21:F21)</f>
        <v>2.228637760924696E-15</v>
      </c>
    </row>
    <row r="22" spans="1:8" ht="12.75">
      <c r="A22">
        <f>A21+1</f>
        <v>20</v>
      </c>
      <c r="B22" s="12">
        <f>-WORKSHEET!W$51</f>
        <v>7.105427357601002E-15</v>
      </c>
      <c r="C22" s="12">
        <f>WORKSHEET!X$38</f>
        <v>0</v>
      </c>
      <c r="D22" s="12">
        <f t="shared" si="0"/>
        <v>0</v>
      </c>
      <c r="E22" s="12">
        <f>IF(WORKSHEET!$E$4=3,D22+CFROI!G22,D22)</f>
        <v>-7.105427357601002E-15</v>
      </c>
      <c r="F22" s="12">
        <f>IF(WORKSHEET!$E$4&lt;4,0,CFROI!E22+CFROI!G22)</f>
        <v>0</v>
      </c>
      <c r="G22" s="12">
        <f>WORKSHEET!W$50</f>
        <v>-7.105427357601002E-15</v>
      </c>
      <c r="H22" s="5">
        <f>IRR(B22:F22)</f>
        <v>2.228637760924696E-15</v>
      </c>
    </row>
    <row r="23" spans="2:8" ht="12.75">
      <c r="B23" s="12"/>
      <c r="F23" s="12"/>
      <c r="H23" s="5"/>
    </row>
    <row r="24" spans="2:8" ht="12.75">
      <c r="B24" s="12"/>
      <c r="C24" s="12"/>
      <c r="D24" s="12"/>
      <c r="E24" s="12"/>
      <c r="F24" s="12"/>
      <c r="G24" s="12"/>
      <c r="H24" s="12"/>
    </row>
    <row r="25" spans="1:8" ht="18">
      <c r="A25" s="69" t="s">
        <v>97</v>
      </c>
      <c r="B25" s="12"/>
      <c r="C25" s="12"/>
      <c r="D25" s="12"/>
      <c r="E25" s="12"/>
      <c r="F25" s="12"/>
      <c r="G25" s="12"/>
      <c r="H25" s="12"/>
    </row>
    <row r="26" spans="2:8" ht="12.75">
      <c r="B26" s="12"/>
      <c r="C26" s="12"/>
      <c r="D26" s="12"/>
      <c r="E26" s="12"/>
      <c r="F26" s="12"/>
      <c r="G26" s="12"/>
      <c r="H26" s="12"/>
    </row>
    <row r="27" spans="2:18" ht="12.75">
      <c r="B27" s="71" t="s">
        <v>98</v>
      </c>
      <c r="C27" s="70"/>
      <c r="D27" s="70"/>
      <c r="E27" s="70"/>
      <c r="F27" s="70"/>
      <c r="G27" s="70"/>
      <c r="H27" s="7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3.5" thickBot="1">
      <c r="A28" s="35" t="s">
        <v>99</v>
      </c>
      <c r="B28" s="64">
        <f>WORKSHEET!H14</f>
        <v>4</v>
      </c>
      <c r="C28" s="64">
        <f>WORKSHEET!I14</f>
        <v>5</v>
      </c>
      <c r="D28" s="64">
        <f>WORKSHEET!J14</f>
        <v>6</v>
      </c>
      <c r="E28" s="64">
        <f>WORKSHEET!K14</f>
        <v>7</v>
      </c>
      <c r="F28" s="64">
        <f>WORKSHEET!L14</f>
        <v>8</v>
      </c>
      <c r="G28" s="64">
        <f>WORKSHEET!M14</f>
        <v>9</v>
      </c>
      <c r="H28" s="64">
        <f>WORKSHEET!N14</f>
        <v>10</v>
      </c>
      <c r="I28" s="64">
        <f>WORKSHEET!O14</f>
        <v>11</v>
      </c>
      <c r="J28" s="64">
        <f>WORKSHEET!P14</f>
        <v>12</v>
      </c>
      <c r="K28" s="64">
        <f>WORKSHEET!Q14</f>
        <v>13</v>
      </c>
      <c r="L28" s="64">
        <f>WORKSHEET!R14</f>
        <v>14</v>
      </c>
      <c r="M28" s="64">
        <f>WORKSHEET!S14</f>
        <v>15</v>
      </c>
      <c r="N28" s="64">
        <f>WORKSHEET!T14</f>
        <v>16</v>
      </c>
      <c r="O28" s="64">
        <f>WORKSHEET!U14</f>
        <v>17</v>
      </c>
      <c r="P28" s="64">
        <f>WORKSHEET!V14</f>
        <v>18</v>
      </c>
      <c r="Q28" s="64">
        <f>WORKSHEET!W14</f>
        <v>19</v>
      </c>
      <c r="R28" s="64">
        <f>WORKSHEET!X14</f>
        <v>20</v>
      </c>
    </row>
    <row r="29" spans="1:18" ht="13.5" thickTop="1">
      <c r="A29" s="35">
        <v>2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12.75">
      <c r="A30" s="13">
        <v>3</v>
      </c>
      <c r="B30" s="57">
        <f>NPV(WORKSHEET!$E$5,WORKSHEET!$H47:H47)</f>
        <v>23.497502497502474</v>
      </c>
      <c r="C30" s="49">
        <f>NPV(WORKSHEET!$E$5,WORKSHEET!$H47:I47)</f>
        <v>48.64500499500496</v>
      </c>
      <c r="D30" s="49">
        <f>NPV(WORKSHEET!$E$5,WORKSHEET!$H47:J47)</f>
        <v>73.30157883506472</v>
      </c>
      <c r="E30" s="49">
        <f>NPV(WORKSHEET!$E$5,WORKSHEET!$H47:K47)</f>
        <v>96.64832684049983</v>
      </c>
      <c r="F30" s="49">
        <f>NPV(WORKSHEET!$E$5,WORKSHEET!$H47:L47)</f>
        <v>223.24907362275164</v>
      </c>
      <c r="G30" s="49">
        <f>NPV(WORKSHEET!$E$5,WORKSHEET!$H47:M47)</f>
        <v>307.2776296619276</v>
      </c>
      <c r="H30" s="49">
        <f>NPV(WORKSHEET!$E$5,WORKSHEET!$H47:N47)</f>
        <v>354.32011499665066</v>
      </c>
      <c r="I30" s="49">
        <f>NPV(WORKSHEET!$E$5,WORKSHEET!$H47:O47)</f>
        <v>354.32011499665066</v>
      </c>
      <c r="J30" s="49">
        <f>NPV(WORKSHEET!$E$5,WORKSHEET!$H47:P47)</f>
        <v>354.32011499665066</v>
      </c>
      <c r="K30" s="49">
        <f>NPV(WORKSHEET!$E$5,WORKSHEET!$H47:Q47)</f>
        <v>354.32011499665066</v>
      </c>
      <c r="L30" s="49">
        <f>NPV(WORKSHEET!$E$5,WORKSHEET!$H47:R47)</f>
        <v>354.32011499665066</v>
      </c>
      <c r="M30" s="49">
        <f>NPV(WORKSHEET!$E$5,WORKSHEET!$H47:S47)</f>
        <v>354.32011499665066</v>
      </c>
      <c r="N30" s="49">
        <f>NPV(WORKSHEET!$E$5,WORKSHEET!$H47:T47)</f>
        <v>354.32011499665066</v>
      </c>
      <c r="O30" s="49">
        <f>NPV(WORKSHEET!$E$5,WORKSHEET!$H47:U47)</f>
        <v>354.32011499665066</v>
      </c>
      <c r="P30" s="49">
        <f>NPV(WORKSHEET!$E$5,WORKSHEET!$H47:V47)</f>
        <v>354.32011499665066</v>
      </c>
      <c r="Q30" s="49">
        <f>NPV(WORKSHEET!$E$5,WORKSHEET!$H47:W47)</f>
        <v>354.32011499665066</v>
      </c>
      <c r="R30" s="62">
        <f>NPV(WORKSHEET!$E$5,WORKSHEET!$H$47:X$47)</f>
        <v>354.32011499665066</v>
      </c>
    </row>
    <row r="31" spans="1:18" ht="12.75">
      <c r="A31" s="13">
        <f>A30+1</f>
        <v>4</v>
      </c>
      <c r="B31" s="66"/>
      <c r="C31" s="49">
        <f>NPV(WORKSHEET!$E$5,WORKSHEET!$I$47:I$47)</f>
        <v>27.662252747252733</v>
      </c>
      <c r="D31" s="49">
        <f>NPV(WORKSHEET!$E$5,WORKSHEET!$I$47:J$47)</f>
        <v>54.78448397131846</v>
      </c>
      <c r="E31" s="49">
        <f>NPV(WORKSHEET!$E$5,WORKSHEET!$I$47:K$47)</f>
        <v>80.4659067772971</v>
      </c>
      <c r="F31" s="49">
        <f>NPV(WORKSHEET!$E$5,WORKSHEET!$I$47:L$47)</f>
        <v>219.7267282377741</v>
      </c>
      <c r="G31" s="49">
        <f>NPV(WORKSHEET!$E$5,WORKSHEET!$I$47:M$47)</f>
        <v>312.15813988086774</v>
      </c>
      <c r="H31" s="49">
        <f>NPV(WORKSHEET!$E$5,WORKSHEET!$I$47:N$47)</f>
        <v>363.9048737490631</v>
      </c>
      <c r="I31" s="49">
        <f>NPV(WORKSHEET!$E$5,WORKSHEET!$I$47:O$47)</f>
        <v>363.9048737490631</v>
      </c>
      <c r="J31" s="49">
        <f>NPV(WORKSHEET!$E$5,WORKSHEET!$I$47:P$47)</f>
        <v>363.9048737490631</v>
      </c>
      <c r="K31" s="49">
        <f>NPV(WORKSHEET!$E$5,WORKSHEET!$I$47:Q$47)</f>
        <v>363.9048737490631</v>
      </c>
      <c r="L31" s="49">
        <f>NPV(WORKSHEET!$E$5,WORKSHEET!$I$47:R$47)</f>
        <v>363.9048737490631</v>
      </c>
      <c r="M31" s="49">
        <f>NPV(WORKSHEET!$E$5,WORKSHEET!$I$47:S$47)</f>
        <v>363.9048737490631</v>
      </c>
      <c r="N31" s="49">
        <f>NPV(WORKSHEET!$E$5,WORKSHEET!$I$47:T$47)</f>
        <v>363.9048737490631</v>
      </c>
      <c r="O31" s="49">
        <f>NPV(WORKSHEET!$E$5,WORKSHEET!$I$47:U$47)</f>
        <v>363.9048737490631</v>
      </c>
      <c r="P31" s="49">
        <f>NPV(WORKSHEET!$E$5,WORKSHEET!$I$47:V$47)</f>
        <v>363.9048737490631</v>
      </c>
      <c r="Q31" s="49">
        <f>NPV(WORKSHEET!$E$5,WORKSHEET!$I$47:W$47)</f>
        <v>363.9048737490631</v>
      </c>
      <c r="R31" s="62">
        <f>NPV(WORKSHEET!$E$5,WORKSHEET!$I$47:X$47)</f>
        <v>363.9048737490631</v>
      </c>
    </row>
    <row r="32" spans="1:18" ht="12.75">
      <c r="A32" s="13">
        <f aca="true" t="shared" si="3" ref="A32:A47">A31+1</f>
        <v>5</v>
      </c>
      <c r="B32" s="66"/>
      <c r="C32" s="65"/>
      <c r="D32" s="49">
        <f>NPV(WORKSHEET!$E$5,WORKSHEET!$J$47:J$47)</f>
        <v>29.834454346472302</v>
      </c>
      <c r="E32" s="49">
        <f>NPV(WORKSHEET!$E$5,WORKSHEET!$J$47:K$47)</f>
        <v>58.08401943304882</v>
      </c>
      <c r="F32" s="49">
        <f>NPV(WORKSHEET!$E$5,WORKSHEET!$J$47:L$47)</f>
        <v>211.27092303957355</v>
      </c>
      <c r="G32" s="49">
        <f>NPV(WORKSHEET!$E$5,WORKSHEET!$J$47:M$47)</f>
        <v>312.94547584697654</v>
      </c>
      <c r="H32" s="49">
        <f>NPV(WORKSHEET!$E$5,WORKSHEET!$J$47:N$47)</f>
        <v>369.86688310199145</v>
      </c>
      <c r="I32" s="49">
        <f>NPV(WORKSHEET!$E$5,WORKSHEET!$J$47:O$47)</f>
        <v>369.86688310199145</v>
      </c>
      <c r="J32" s="49">
        <f>NPV(WORKSHEET!$E$5,WORKSHEET!$J$47:P$47)</f>
        <v>369.86688310199145</v>
      </c>
      <c r="K32" s="49">
        <f>NPV(WORKSHEET!$E$5,WORKSHEET!$J$47:Q$47)</f>
        <v>369.86688310199145</v>
      </c>
      <c r="L32" s="49">
        <f>NPV(WORKSHEET!$E$5,WORKSHEET!$J$47:R$47)</f>
        <v>369.86688310199145</v>
      </c>
      <c r="M32" s="49">
        <f>NPV(WORKSHEET!$E$5,WORKSHEET!$J$47:S$47)</f>
        <v>369.86688310199145</v>
      </c>
      <c r="N32" s="49">
        <f>NPV(WORKSHEET!$E$5,WORKSHEET!$J$47:T$47)</f>
        <v>369.86688310199145</v>
      </c>
      <c r="O32" s="49">
        <f>NPV(WORKSHEET!$E$5,WORKSHEET!$J$47:U$47)</f>
        <v>369.86688310199145</v>
      </c>
      <c r="P32" s="49">
        <f>NPV(WORKSHEET!$E$5,WORKSHEET!$J$47:V$47)</f>
        <v>369.86688310199145</v>
      </c>
      <c r="Q32" s="49">
        <f>NPV(WORKSHEET!$E$5,WORKSHEET!$J$47:W$47)</f>
        <v>369.86688310199145</v>
      </c>
      <c r="R32" s="62">
        <f>NPV(WORKSHEET!$E$5,WORKSHEET!$J$47:X$47)</f>
        <v>369.86688310199145</v>
      </c>
    </row>
    <row r="33" spans="1:18" ht="12.75">
      <c r="A33" s="13">
        <f t="shared" si="3"/>
        <v>6</v>
      </c>
      <c r="B33" s="66"/>
      <c r="C33" s="65"/>
      <c r="D33" s="65"/>
      <c r="E33" s="49">
        <f>NPV(WORKSHEET!$E$5,WORKSHEET!$K$47:K$47)</f>
        <v>31.074521595234174</v>
      </c>
      <c r="F33" s="49">
        <f>NPV(WORKSHEET!$E$5,WORKSHEET!$K$47:L$47)</f>
        <v>199.58011556241138</v>
      </c>
      <c r="G33" s="49">
        <f>NPV(WORKSHEET!$E$5,WORKSHEET!$K$47:M$47)</f>
        <v>311.4221236505547</v>
      </c>
      <c r="H33" s="49">
        <f>NPV(WORKSHEET!$E$5,WORKSHEET!$K$47:N$47)</f>
        <v>374.03567163107107</v>
      </c>
      <c r="I33" s="49">
        <f>NPV(WORKSHEET!$E$5,WORKSHEET!$K$47:O$47)</f>
        <v>374.03567163107107</v>
      </c>
      <c r="J33" s="49">
        <f>NPV(WORKSHEET!$E$5,WORKSHEET!$K$47:P$47)</f>
        <v>374.03567163107107</v>
      </c>
      <c r="K33" s="49">
        <f>NPV(WORKSHEET!$E$5,WORKSHEET!$K$47:Q$47)</f>
        <v>374.03567163107107</v>
      </c>
      <c r="L33" s="49">
        <f>NPV(WORKSHEET!$E$5,WORKSHEET!$K$47:R$47)</f>
        <v>374.03567163107107</v>
      </c>
      <c r="M33" s="49">
        <f>NPV(WORKSHEET!$E$5,WORKSHEET!$K$47:S$47)</f>
        <v>374.03567163107107</v>
      </c>
      <c r="N33" s="49">
        <f>NPV(WORKSHEET!$E$5,WORKSHEET!$K$47:T$47)</f>
        <v>374.03567163107107</v>
      </c>
      <c r="O33" s="49">
        <f>NPV(WORKSHEET!$E$5,WORKSHEET!$K$47:U$47)</f>
        <v>374.03567163107107</v>
      </c>
      <c r="P33" s="49">
        <f>NPV(WORKSHEET!$E$5,WORKSHEET!$K$47:V$47)</f>
        <v>374.03567163107107</v>
      </c>
      <c r="Q33" s="49">
        <f>NPV(WORKSHEET!$E$5,WORKSHEET!$K$47:W$47)</f>
        <v>374.03567163107107</v>
      </c>
      <c r="R33" s="62">
        <f>NPV(WORKSHEET!$E$5,WORKSHEET!$K$47:X$47)</f>
        <v>374.03567163107107</v>
      </c>
    </row>
    <row r="34" spans="1:18" ht="12.75">
      <c r="A34" s="13">
        <f t="shared" si="3"/>
        <v>7</v>
      </c>
      <c r="B34" s="66"/>
      <c r="C34" s="65"/>
      <c r="D34" s="65"/>
      <c r="E34" s="65"/>
      <c r="F34" s="49">
        <f>NPV(WORKSHEET!$E$5,WORKSHEET!$L$47:L$47)</f>
        <v>185.35615336389495</v>
      </c>
      <c r="G34" s="49">
        <f>NPV(WORKSHEET!$E$5,WORKSHEET!$L$47:M$47)</f>
        <v>308.3823622608526</v>
      </c>
      <c r="H34" s="49">
        <f>NPV(WORKSHEET!$E$5,WORKSHEET!$L$47:N$47)</f>
        <v>377.25726503942064</v>
      </c>
      <c r="I34" s="49">
        <f>NPV(WORKSHEET!$E$5,WORKSHEET!$L$47:O$47)</f>
        <v>377.25726503942064</v>
      </c>
      <c r="J34" s="49">
        <f>NPV(WORKSHEET!$E$5,WORKSHEET!$L$47:P$47)</f>
        <v>377.25726503942064</v>
      </c>
      <c r="K34" s="49">
        <f>NPV(WORKSHEET!$E$5,WORKSHEET!$L$47:Q$47)</f>
        <v>377.25726503942064</v>
      </c>
      <c r="L34" s="49">
        <f>NPV(WORKSHEET!$E$5,WORKSHEET!$L$47:R$47)</f>
        <v>377.25726503942064</v>
      </c>
      <c r="M34" s="49">
        <f>NPV(WORKSHEET!$E$5,WORKSHEET!$L$47:S$47)</f>
        <v>377.25726503942064</v>
      </c>
      <c r="N34" s="49">
        <f>NPV(WORKSHEET!$E$5,WORKSHEET!$L$47:T$47)</f>
        <v>377.25726503942064</v>
      </c>
      <c r="O34" s="49">
        <f>NPV(WORKSHEET!$E$5,WORKSHEET!$L$47:U$47)</f>
        <v>377.25726503942064</v>
      </c>
      <c r="P34" s="49">
        <f>NPV(WORKSHEET!$E$5,WORKSHEET!$L$47:V$47)</f>
        <v>377.25726503942064</v>
      </c>
      <c r="Q34" s="49">
        <f>NPV(WORKSHEET!$E$5,WORKSHEET!$L$47:W$47)</f>
        <v>377.25726503942064</v>
      </c>
      <c r="R34" s="62">
        <f>NPV(WORKSHEET!$E$5,WORKSHEET!$L$47:X$47)</f>
        <v>377.25726503942064</v>
      </c>
    </row>
    <row r="35" spans="1:18" ht="12.75">
      <c r="A35" s="13">
        <f t="shared" si="3"/>
        <v>8</v>
      </c>
      <c r="B35" s="66"/>
      <c r="C35" s="65"/>
      <c r="D35" s="65"/>
      <c r="E35" s="65"/>
      <c r="F35" s="65"/>
      <c r="G35" s="49">
        <f>NPV(WORKSHEET!$E$5,WORKSHEET!$M$47:M$47)</f>
        <v>135.32882978665342</v>
      </c>
      <c r="H35" s="49">
        <f>NPV(WORKSHEET!$E$5,WORKSHEET!$M$47:N$47)</f>
        <v>211.09122284307827</v>
      </c>
      <c r="I35" s="49">
        <f>NPV(WORKSHEET!$E$5,WORKSHEET!$M$47:O$47)</f>
        <v>211.09122284307827</v>
      </c>
      <c r="J35" s="49">
        <f>NPV(WORKSHEET!$E$5,WORKSHEET!$M$47:P$47)</f>
        <v>211.09122284307827</v>
      </c>
      <c r="K35" s="49">
        <f>NPV(WORKSHEET!$E$5,WORKSHEET!$M$47:Q$47)</f>
        <v>211.09122284307827</v>
      </c>
      <c r="L35" s="49">
        <f>NPV(WORKSHEET!$E$5,WORKSHEET!$M$47:R$47)</f>
        <v>211.09122284307827</v>
      </c>
      <c r="M35" s="49">
        <f>NPV(WORKSHEET!$E$5,WORKSHEET!$M$47:S$47)</f>
        <v>211.09122284307827</v>
      </c>
      <c r="N35" s="49">
        <f>NPV(WORKSHEET!$E$5,WORKSHEET!$M$47:T$47)</f>
        <v>211.09122284307827</v>
      </c>
      <c r="O35" s="49">
        <f>NPV(WORKSHEET!$E$5,WORKSHEET!$M$47:U$47)</f>
        <v>211.09122284307827</v>
      </c>
      <c r="P35" s="49">
        <f>NPV(WORKSHEET!$E$5,WORKSHEET!$M$47:V$47)</f>
        <v>211.09122284307827</v>
      </c>
      <c r="Q35" s="49">
        <f>NPV(WORKSHEET!$E$5,WORKSHEET!$M$47:W$47)</f>
        <v>211.09122284307827</v>
      </c>
      <c r="R35" s="62">
        <f>NPV(WORKSHEET!$E$5,WORKSHEET!$M$47:X$47)</f>
        <v>211.09122284307827</v>
      </c>
    </row>
    <row r="36" spans="1:18" ht="12.75">
      <c r="A36" s="13">
        <f t="shared" si="3"/>
        <v>9</v>
      </c>
      <c r="B36" s="66"/>
      <c r="C36" s="65"/>
      <c r="D36" s="65"/>
      <c r="E36" s="65"/>
      <c r="F36" s="65"/>
      <c r="G36" s="65"/>
      <c r="H36" s="49">
        <f>NPV(WORKSHEET!$E$5,WORKSHEET!$N$47:N$47)</f>
        <v>83.33863236206734</v>
      </c>
      <c r="I36" s="49">
        <f>NPV(WORKSHEET!$E$5,WORKSHEET!$N$47:O$47)</f>
        <v>83.33863236206734</v>
      </c>
      <c r="J36" s="49">
        <f>NPV(WORKSHEET!$E$5,WORKSHEET!$N$47:P$47)</f>
        <v>83.33863236206734</v>
      </c>
      <c r="K36" s="49">
        <f>NPV(WORKSHEET!$E$5,WORKSHEET!$N$47:Q$47)</f>
        <v>83.33863236206734</v>
      </c>
      <c r="L36" s="49">
        <f>NPV(WORKSHEET!$E$5,WORKSHEET!$N$47:R$47)</f>
        <v>83.33863236206734</v>
      </c>
      <c r="M36" s="49">
        <f>NPV(WORKSHEET!$E$5,WORKSHEET!$N$47:S$47)</f>
        <v>83.33863236206734</v>
      </c>
      <c r="N36" s="49">
        <f>NPV(WORKSHEET!$E$5,WORKSHEET!$N$47:T$47)</f>
        <v>83.33863236206734</v>
      </c>
      <c r="O36" s="49">
        <f>NPV(WORKSHEET!$E$5,WORKSHEET!$N$47:U$47)</f>
        <v>83.33863236206734</v>
      </c>
      <c r="P36" s="49">
        <f>NPV(WORKSHEET!$E$5,WORKSHEET!$N$47:V$47)</f>
        <v>83.33863236206734</v>
      </c>
      <c r="Q36" s="49">
        <f>NPV(WORKSHEET!$E$5,WORKSHEET!$N$47:W$47)</f>
        <v>83.33863236206734</v>
      </c>
      <c r="R36" s="62">
        <f>NPV(WORKSHEET!$E$5,WORKSHEET!$N$47:X$47)</f>
        <v>83.33863236206734</v>
      </c>
    </row>
    <row r="37" spans="1:18" ht="12.75">
      <c r="A37" s="13">
        <f t="shared" si="3"/>
        <v>10</v>
      </c>
      <c r="B37" s="66"/>
      <c r="C37" s="65"/>
      <c r="D37" s="65"/>
      <c r="E37" s="65"/>
      <c r="F37" s="65"/>
      <c r="G37" s="65"/>
      <c r="H37" s="65"/>
      <c r="I37" s="49">
        <f>NPV(WORKSHEET!$E$5,WORKSHEET!$O$47:O$47)</f>
        <v>0</v>
      </c>
      <c r="J37" s="49">
        <f>NPV(WORKSHEET!$E$5,WORKSHEET!$O$47:P$47)</f>
        <v>0</v>
      </c>
      <c r="K37" s="49">
        <f>NPV(WORKSHEET!$E$5,WORKSHEET!$O$47:Q$47)</f>
        <v>0</v>
      </c>
      <c r="L37" s="49">
        <f>NPV(WORKSHEET!$E$5,WORKSHEET!$O$47:R$47)</f>
        <v>0</v>
      </c>
      <c r="M37" s="49">
        <f>NPV(WORKSHEET!$E$5,WORKSHEET!$O$47:S$47)</f>
        <v>0</v>
      </c>
      <c r="N37" s="49">
        <f>NPV(WORKSHEET!$E$5,WORKSHEET!$O$47:T$47)</f>
        <v>0</v>
      </c>
      <c r="O37" s="49">
        <f>NPV(WORKSHEET!$E$5,WORKSHEET!$O$47:U$47)</f>
        <v>0</v>
      </c>
      <c r="P37" s="49">
        <f>NPV(WORKSHEET!$E$5,WORKSHEET!$O$47:V$47)</f>
        <v>0</v>
      </c>
      <c r="Q37" s="49">
        <f>NPV(WORKSHEET!$E$5,WORKSHEET!$O$47:W$47)</f>
        <v>0</v>
      </c>
      <c r="R37" s="62">
        <f>NPV(WORKSHEET!$E$5,WORKSHEET!$O$47:X$47)</f>
        <v>0</v>
      </c>
    </row>
    <row r="38" spans="1:18" ht="12.75">
      <c r="A38" s="13">
        <f t="shared" si="3"/>
        <v>11</v>
      </c>
      <c r="B38" s="66"/>
      <c r="C38" s="65"/>
      <c r="D38" s="65"/>
      <c r="E38" s="65"/>
      <c r="F38" s="65"/>
      <c r="G38" s="65"/>
      <c r="H38" s="65"/>
      <c r="I38" s="9"/>
      <c r="J38" s="49">
        <f>NPV(WORKSHEET!$E$5,WORKSHEET!$P$47:P$47)</f>
        <v>0</v>
      </c>
      <c r="K38" s="49">
        <f>NPV(WORKSHEET!$E$5,WORKSHEET!$P$47:Q$47)</f>
        <v>0</v>
      </c>
      <c r="L38" s="49">
        <f>NPV(WORKSHEET!$E$5,WORKSHEET!$P$47:R$47)</f>
        <v>0</v>
      </c>
      <c r="M38" s="49">
        <f>NPV(WORKSHEET!$E$5,WORKSHEET!$P$47:S$47)</f>
        <v>0</v>
      </c>
      <c r="N38" s="49">
        <f>NPV(WORKSHEET!$E$5,WORKSHEET!$P$47:T$47)</f>
        <v>0</v>
      </c>
      <c r="O38" s="49">
        <f>NPV(WORKSHEET!$E$5,WORKSHEET!$P$47:U$47)</f>
        <v>0</v>
      </c>
      <c r="P38" s="49">
        <f>NPV(WORKSHEET!$E$5,WORKSHEET!$P$47:V$47)</f>
        <v>0</v>
      </c>
      <c r="Q38" s="49">
        <f>NPV(WORKSHEET!$E$5,WORKSHEET!$P$47:W$47)</f>
        <v>0</v>
      </c>
      <c r="R38" s="62">
        <f>NPV(WORKSHEET!$E$5,WORKSHEET!$P$47:X$47)</f>
        <v>0</v>
      </c>
    </row>
    <row r="39" spans="1:18" ht="12.75">
      <c r="A39" s="13">
        <f t="shared" si="3"/>
        <v>12</v>
      </c>
      <c r="B39" s="54"/>
      <c r="C39" s="9"/>
      <c r="D39" s="9"/>
      <c r="E39" s="9"/>
      <c r="F39" s="9"/>
      <c r="G39" s="9"/>
      <c r="H39" s="9"/>
      <c r="I39" s="9"/>
      <c r="J39" s="9"/>
      <c r="K39" s="49">
        <f>NPV(WORKSHEET!$E$5,WORKSHEET!$Q$47:Q$47)</f>
        <v>0</v>
      </c>
      <c r="L39" s="49">
        <f>NPV(WORKSHEET!$E$5,WORKSHEET!$Q$47:R$47)</f>
        <v>0</v>
      </c>
      <c r="M39" s="49">
        <f>NPV(WORKSHEET!$E$5,WORKSHEET!$Q$47:S$47)</f>
        <v>0</v>
      </c>
      <c r="N39" s="49">
        <f>NPV(WORKSHEET!$E$5,WORKSHEET!$Q$47:T$47)</f>
        <v>0</v>
      </c>
      <c r="O39" s="49">
        <f>NPV(WORKSHEET!$E$5,WORKSHEET!$Q$47:U$47)</f>
        <v>0</v>
      </c>
      <c r="P39" s="49">
        <f>NPV(WORKSHEET!$E$5,WORKSHEET!$Q$47:V$47)</f>
        <v>0</v>
      </c>
      <c r="Q39" s="49">
        <f>NPV(WORKSHEET!$E$5,WORKSHEET!$Q$47:W$47)</f>
        <v>0</v>
      </c>
      <c r="R39" s="62">
        <f>NPV(WORKSHEET!$E$5,WORKSHEET!$Q$47:X$47)</f>
        <v>0</v>
      </c>
    </row>
    <row r="40" spans="1:18" ht="12.75">
      <c r="A40" s="13">
        <f t="shared" si="3"/>
        <v>13</v>
      </c>
      <c r="B40" s="54"/>
      <c r="C40" s="9"/>
      <c r="D40" s="9"/>
      <c r="E40" s="9"/>
      <c r="F40" s="9"/>
      <c r="G40" s="9"/>
      <c r="H40" s="9"/>
      <c r="I40" s="9"/>
      <c r="J40" s="9"/>
      <c r="K40" s="49"/>
      <c r="L40" s="49">
        <f>NPV(WORKSHEET!$E$5,WORKSHEET!$R$47:R$47)</f>
        <v>0</v>
      </c>
      <c r="M40" s="49">
        <f>NPV(WORKSHEET!$E$5,WORKSHEET!$R$47:S$47)</f>
        <v>0</v>
      </c>
      <c r="N40" s="49">
        <f>NPV(WORKSHEET!$E$5,WORKSHEET!$R$47:T$47)</f>
        <v>0</v>
      </c>
      <c r="O40" s="49">
        <f>NPV(WORKSHEET!$E$5,WORKSHEET!$R$47:U$47)</f>
        <v>0</v>
      </c>
      <c r="P40" s="49">
        <f>NPV(WORKSHEET!$E$5,WORKSHEET!$R$47:V$47)</f>
        <v>0</v>
      </c>
      <c r="Q40" s="49">
        <f>NPV(WORKSHEET!$E$5,WORKSHEET!$R$47:W$47)</f>
        <v>0</v>
      </c>
      <c r="R40" s="62">
        <f>NPV(WORKSHEET!$E$5,WORKSHEET!$R$47:X$47)</f>
        <v>0</v>
      </c>
    </row>
    <row r="41" spans="1:18" ht="12.75">
      <c r="A41" s="13">
        <f t="shared" si="3"/>
        <v>14</v>
      </c>
      <c r="B41" s="54"/>
      <c r="C41" s="9"/>
      <c r="D41" s="9"/>
      <c r="E41" s="9"/>
      <c r="F41" s="9"/>
      <c r="G41" s="9"/>
      <c r="H41" s="9"/>
      <c r="I41" s="9"/>
      <c r="J41" s="9"/>
      <c r="K41" s="49"/>
      <c r="L41" s="49"/>
      <c r="M41" s="49">
        <f>NPV(WORKSHEET!$E$5,WORKSHEET!$S$47:S$47)</f>
        <v>0</v>
      </c>
      <c r="N41" s="49">
        <f>NPV(WORKSHEET!$E$5,WORKSHEET!$S$47:T$47)</f>
        <v>0</v>
      </c>
      <c r="O41" s="49">
        <f>NPV(WORKSHEET!$E$5,WORKSHEET!$S$47:U$47)</f>
        <v>0</v>
      </c>
      <c r="P41" s="49">
        <f>NPV(WORKSHEET!$E$5,WORKSHEET!$S$47:V$47)</f>
        <v>0</v>
      </c>
      <c r="Q41" s="49">
        <f>NPV(WORKSHEET!$E$5,WORKSHEET!$S$47:W$47)</f>
        <v>0</v>
      </c>
      <c r="R41" s="62">
        <f>NPV(WORKSHEET!$E$5,WORKSHEET!$S$47:X$47)</f>
        <v>0</v>
      </c>
    </row>
    <row r="42" spans="1:18" ht="12.75">
      <c r="A42" s="13">
        <f t="shared" si="3"/>
        <v>15</v>
      </c>
      <c r="B42" s="54"/>
      <c r="C42" s="9"/>
      <c r="D42" s="9"/>
      <c r="E42" s="9"/>
      <c r="F42" s="9"/>
      <c r="G42" s="9"/>
      <c r="H42" s="9"/>
      <c r="I42" s="9"/>
      <c r="J42" s="9"/>
      <c r="K42" s="49"/>
      <c r="L42" s="49"/>
      <c r="M42" s="49"/>
      <c r="N42" s="49">
        <f>NPV(WORKSHEET!$E$5,WORKSHEET!$T$47:T$47)</f>
        <v>0</v>
      </c>
      <c r="O42" s="49">
        <f>NPV(WORKSHEET!$E$5,WORKSHEET!$T$47:U$47)</f>
        <v>0</v>
      </c>
      <c r="P42" s="49">
        <f>NPV(WORKSHEET!$E$5,WORKSHEET!$T$47:V$47)</f>
        <v>0</v>
      </c>
      <c r="Q42" s="49">
        <f>NPV(WORKSHEET!$E$5,WORKSHEET!$T$47:W$47)</f>
        <v>0</v>
      </c>
      <c r="R42" s="62">
        <f>NPV(WORKSHEET!$E$5,WORKSHEET!$T$47:X$47)</f>
        <v>0</v>
      </c>
    </row>
    <row r="43" spans="1:18" ht="12.75">
      <c r="A43" s="13">
        <f t="shared" si="3"/>
        <v>16</v>
      </c>
      <c r="B43" s="54"/>
      <c r="C43" s="9"/>
      <c r="D43" s="9"/>
      <c r="E43" s="9"/>
      <c r="F43" s="9"/>
      <c r="G43" s="9"/>
      <c r="H43" s="9"/>
      <c r="I43" s="9"/>
      <c r="J43" s="9"/>
      <c r="K43" s="49"/>
      <c r="L43" s="49"/>
      <c r="M43" s="49"/>
      <c r="N43" s="49"/>
      <c r="O43" s="49">
        <f>NPV(WORKSHEET!$E$5,WORKSHEET!$U$47:U$47)</f>
        <v>0</v>
      </c>
      <c r="P43" s="49">
        <f>NPV(WORKSHEET!$E$5,WORKSHEET!$U$47:V$47)</f>
        <v>0</v>
      </c>
      <c r="Q43" s="49">
        <f>NPV(WORKSHEET!$E$5,WORKSHEET!$U$47:W$47)</f>
        <v>0</v>
      </c>
      <c r="R43" s="62">
        <f>NPV(WORKSHEET!$E$5,WORKSHEET!$U$47:X$47)</f>
        <v>0</v>
      </c>
    </row>
    <row r="44" spans="1:18" ht="12.75">
      <c r="A44" s="13">
        <f t="shared" si="3"/>
        <v>17</v>
      </c>
      <c r="B44" s="54"/>
      <c r="C44" s="9"/>
      <c r="D44" s="9"/>
      <c r="E44" s="9"/>
      <c r="F44" s="9"/>
      <c r="G44" s="9"/>
      <c r="H44" s="9"/>
      <c r="I44" s="9"/>
      <c r="J44" s="9"/>
      <c r="K44" s="49"/>
      <c r="L44" s="49"/>
      <c r="M44" s="49"/>
      <c r="N44" s="49"/>
      <c r="O44" s="49"/>
      <c r="P44" s="49">
        <f>NPV(WORKSHEET!$E$5,WORKSHEET!$V$47:V$47)</f>
        <v>0</v>
      </c>
      <c r="Q44" s="49">
        <f>NPV(WORKSHEET!$E$5,WORKSHEET!$V$47:W$47)</f>
        <v>0</v>
      </c>
      <c r="R44" s="62">
        <f>NPV(WORKSHEET!$E$5,WORKSHEET!$V$47:X$47)</f>
        <v>0</v>
      </c>
    </row>
    <row r="45" spans="1:18" ht="12.75">
      <c r="A45" s="13">
        <f t="shared" si="3"/>
        <v>18</v>
      </c>
      <c r="B45" s="54"/>
      <c r="C45" s="9"/>
      <c r="D45" s="9"/>
      <c r="E45" s="9"/>
      <c r="F45" s="9"/>
      <c r="G45" s="9"/>
      <c r="H45" s="9"/>
      <c r="I45" s="9"/>
      <c r="J45" s="9"/>
      <c r="K45" s="49"/>
      <c r="L45" s="49"/>
      <c r="M45" s="49"/>
      <c r="N45" s="49"/>
      <c r="O45" s="49"/>
      <c r="P45" s="49"/>
      <c r="Q45" s="49">
        <f>NPV(WORKSHEET!$E$5,WORKSHEET!$W$47:W$47)</f>
        <v>0</v>
      </c>
      <c r="R45" s="62">
        <f>NPV(WORKSHEET!$E$5,WORKSHEET!$W$47:X$47)</f>
        <v>0</v>
      </c>
    </row>
    <row r="46" spans="1:18" ht="12.75">
      <c r="A46" s="13">
        <f t="shared" si="3"/>
        <v>19</v>
      </c>
      <c r="B46" s="54"/>
      <c r="C46" s="9"/>
      <c r="D46" s="9"/>
      <c r="E46" s="9"/>
      <c r="F46" s="9"/>
      <c r="G46" s="9"/>
      <c r="H46" s="9"/>
      <c r="I46" s="9"/>
      <c r="J46" s="9"/>
      <c r="K46" s="49"/>
      <c r="L46" s="49"/>
      <c r="M46" s="49"/>
      <c r="N46" s="49"/>
      <c r="O46" s="49"/>
      <c r="P46" s="49"/>
      <c r="Q46" s="49"/>
      <c r="R46" s="62">
        <f>NPV(WORKSHEET!$E$5,WORKSHEET!$X$47:X$47)</f>
        <v>0</v>
      </c>
    </row>
    <row r="47" spans="1:18" ht="13.5" thickBot="1">
      <c r="A47" s="13">
        <f t="shared" si="3"/>
        <v>20</v>
      </c>
      <c r="B47" s="6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68"/>
    </row>
    <row r="48" ht="13.5" thickTop="1"/>
    <row r="50" ht="18">
      <c r="A50" s="69" t="s">
        <v>100</v>
      </c>
    </row>
    <row r="52" spans="1:18" ht="13.5" thickBot="1">
      <c r="A52" s="35" t="s">
        <v>99</v>
      </c>
      <c r="B52" s="64">
        <f>WORKSHEET!H14</f>
        <v>4</v>
      </c>
      <c r="C52" s="64">
        <f>WORKSHEET!I14</f>
        <v>5</v>
      </c>
      <c r="D52" s="64">
        <f>WORKSHEET!J14</f>
        <v>6</v>
      </c>
      <c r="E52" s="64">
        <f>WORKSHEET!K14</f>
        <v>7</v>
      </c>
      <c r="F52" s="64">
        <f>WORKSHEET!L14</f>
        <v>8</v>
      </c>
      <c r="G52" s="64">
        <f>WORKSHEET!M14</f>
        <v>9</v>
      </c>
      <c r="H52" s="64">
        <f>WORKSHEET!N14</f>
        <v>10</v>
      </c>
      <c r="I52" s="64">
        <f>WORKSHEET!O14</f>
        <v>11</v>
      </c>
      <c r="J52" s="64">
        <f>WORKSHEET!P14</f>
        <v>12</v>
      </c>
      <c r="K52" s="64">
        <f>WORKSHEET!Q14</f>
        <v>13</v>
      </c>
      <c r="L52" s="64">
        <f>WORKSHEET!R14</f>
        <v>14</v>
      </c>
      <c r="M52" s="64">
        <f>WORKSHEET!S14</f>
        <v>15</v>
      </c>
      <c r="N52" s="64">
        <f>WORKSHEET!T14</f>
        <v>16</v>
      </c>
      <c r="O52" s="64">
        <f>WORKSHEET!U14</f>
        <v>17</v>
      </c>
      <c r="P52" s="64">
        <f>WORKSHEET!V14</f>
        <v>18</v>
      </c>
      <c r="Q52" s="64">
        <f>WORKSHEET!W14</f>
        <v>19</v>
      </c>
      <c r="R52" s="64">
        <f>WORKSHEET!X14</f>
        <v>20</v>
      </c>
    </row>
    <row r="53" spans="1:18" ht="13.5" thickTop="1">
      <c r="A53" s="77">
        <v>2</v>
      </c>
      <c r="B53" s="78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80"/>
    </row>
    <row r="54" spans="1:18" ht="12.75">
      <c r="A54" s="13">
        <v>3</v>
      </c>
      <c r="B54" s="75">
        <f>WORKSHEET!H77/(1+WORKSHEET!$E$5)^(CFROI!B52-CFROI!$A54)</f>
        <v>299.16283716283715</v>
      </c>
      <c r="C54" s="81">
        <f>WORKSHEET!$I77/(1+WORKSHEET!$E$5)^(CFROI!C52-CFROI!$A54)</f>
        <v>290.1518050503285</v>
      </c>
      <c r="D54" s="81">
        <f>WORKSHEET!J77/(1+WORKSHEET!$E$5)^(CFROI!D52-CFROI!$A54)</f>
        <v>276.71758100342737</v>
      </c>
      <c r="E54" s="81">
        <f>WORKSHEET!K77/(1+WORKSHEET!$E$5)^(CFROI!E52-CFROI!$A54)</f>
        <v>257.67178815615085</v>
      </c>
      <c r="F54" s="81">
        <f>WORKSHEET!L77/(1+WORKSHEET!$E$5)^(CFROI!F52-CFROI!$A54)</f>
        <v>131.07104137389908</v>
      </c>
      <c r="G54" s="81">
        <f>WORKSHEET!M77/(1+WORKSHEET!$E$5)^(CFROI!G52-CFROI!$A54)</f>
        <v>47.04248533472305</v>
      </c>
      <c r="H54" s="81">
        <f>WORKSHEET!N77/(1+WORKSHEET!$E$5)^(CFROI!H52-CFROI!$A54)</f>
        <v>0</v>
      </c>
      <c r="I54" s="81">
        <f>WORKSHEET!O77/(1+WORKSHEET!$E$5)^(CFROI!I52-CFROI!$A54)</f>
        <v>0</v>
      </c>
      <c r="J54" s="81">
        <f>WORKSHEET!P77/(1+WORKSHEET!$E$5)^(CFROI!J52-CFROI!$A54)</f>
        <v>0</v>
      </c>
      <c r="K54" s="81">
        <f>WORKSHEET!Q77/(1+WORKSHEET!$E$5)^(CFROI!K52-CFROI!$A54)</f>
        <v>0</v>
      </c>
      <c r="L54" s="81">
        <f>WORKSHEET!R77/(1+WORKSHEET!$E$5)^(CFROI!L52-CFROI!$A54)</f>
        <v>0</v>
      </c>
      <c r="M54" s="81">
        <f>WORKSHEET!S77/(1+WORKSHEET!$E$5)^(CFROI!M52-CFROI!$A54)</f>
        <v>0</v>
      </c>
      <c r="N54" s="81">
        <f>WORKSHEET!T77/(1+WORKSHEET!$E$5)^(CFROI!N52-CFROI!$A54)</f>
        <v>0</v>
      </c>
      <c r="O54" s="81">
        <f>WORKSHEET!U77/(1+WORKSHEET!$E$5)^(CFROI!O52-CFROI!$A54)</f>
        <v>0</v>
      </c>
      <c r="P54" s="81">
        <f>WORKSHEET!V77/(1+WORKSHEET!$E$5)^(CFROI!P52-CFROI!$A54)</f>
        <v>0</v>
      </c>
      <c r="Q54" s="81">
        <f>WORKSHEET!W77/(1+WORKSHEET!$E$5)^(CFROI!Q52-CFROI!$A54)</f>
        <v>0</v>
      </c>
      <c r="R54" s="76">
        <f>WORKSHEET!X77/(1+WORKSHEET!$E$5)^(CFROI!R52-CFROI!$A54)</f>
        <v>0</v>
      </c>
    </row>
    <row r="55" spans="1:18" ht="12.75">
      <c r="A55" s="13">
        <f>A54+1</f>
        <v>4</v>
      </c>
      <c r="B55" s="75">
        <f>WORKSHEET!H$77/(1+WORKSHEET!$E$5)^(CFROI!B$52-CFROI!$A55)</f>
        <v>329.0791208791209</v>
      </c>
      <c r="C55" s="81">
        <f>WORKSHEET!I$77/(1+WORKSHEET!$E$5)^(CFROI!C$52-CFROI!$A55)</f>
        <v>319.16698555536135</v>
      </c>
      <c r="D55" s="81">
        <f>WORKSHEET!J$77/(1+WORKSHEET!$E$5)^(CFROI!D$52-CFROI!$A55)</f>
        <v>304.38933910377017</v>
      </c>
      <c r="E55" s="81">
        <f>WORKSHEET!K$77/(1+WORKSHEET!$E$5)^(CFROI!E$52-CFROI!$A55)</f>
        <v>283.4389669717659</v>
      </c>
      <c r="F55" s="81">
        <f>WORKSHEET!L$77/(1+WORKSHEET!$E$5)^(CFROI!F$52-CFROI!$A55)</f>
        <v>144.178145511289</v>
      </c>
      <c r="G55" s="81">
        <f>WORKSHEET!M$77/(1+WORKSHEET!$E$5)^(CFROI!G$52-CFROI!$A55)</f>
        <v>51.746733868195356</v>
      </c>
      <c r="H55" s="81">
        <f>WORKSHEET!N$77/(1+WORKSHEET!$E$5)^(CFROI!H$52-CFROI!$A55)</f>
        <v>0</v>
      </c>
      <c r="I55" s="81">
        <f>WORKSHEET!O$77/(1+WORKSHEET!$E$5)^(CFROI!I$52-CFROI!$A55)</f>
        <v>0</v>
      </c>
      <c r="J55" s="81">
        <f>WORKSHEET!P$77/(1+WORKSHEET!$E$5)^(CFROI!J$52-CFROI!$A55)</f>
        <v>0</v>
      </c>
      <c r="K55" s="81">
        <f>WORKSHEET!Q$77/(1+WORKSHEET!$E$5)^(CFROI!K$52-CFROI!$A55)</f>
        <v>0</v>
      </c>
      <c r="L55" s="81">
        <f>WORKSHEET!R$77/(1+WORKSHEET!$E$5)^(CFROI!L$52-CFROI!$A55)</f>
        <v>0</v>
      </c>
      <c r="M55" s="81">
        <f>WORKSHEET!S$77/(1+WORKSHEET!$E$5)^(CFROI!M$52-CFROI!$A55)</f>
        <v>0</v>
      </c>
      <c r="N55" s="81">
        <f>WORKSHEET!T$77/(1+WORKSHEET!$E$5)^(CFROI!N$52-CFROI!$A55)</f>
        <v>0</v>
      </c>
      <c r="O55" s="81">
        <f>WORKSHEET!U$77/(1+WORKSHEET!$E$5)^(CFROI!O$52-CFROI!$A55)</f>
        <v>0</v>
      </c>
      <c r="P55" s="81">
        <f>WORKSHEET!V$77/(1+WORKSHEET!$E$5)^(CFROI!P$52-CFROI!$A55)</f>
        <v>0</v>
      </c>
      <c r="Q55" s="81">
        <f>WORKSHEET!W$77/(1+WORKSHEET!$E$5)^(CFROI!Q$52-CFROI!$A55)</f>
        <v>0</v>
      </c>
      <c r="R55" s="76">
        <f>WORKSHEET!X$77/(1+WORKSHEET!$E$5)^(CFROI!R$52-CFROI!$A55)</f>
        <v>0</v>
      </c>
    </row>
    <row r="56" spans="1:18" ht="12.75">
      <c r="A56" s="13">
        <f aca="true" t="shared" si="4" ref="A56:A71">A55+1</f>
        <v>5</v>
      </c>
      <c r="B56" s="75">
        <f>WORKSHEET!H$77/(1+WORKSHEET!$E$5)^(CFROI!B$52-CFROI!$A56)</f>
        <v>361.98703296703303</v>
      </c>
      <c r="C56" s="81">
        <f>WORKSHEET!I$77/(1+WORKSHEET!$E$5)^(CFROI!C$52-CFROI!$A56)</f>
        <v>351.08368411089754</v>
      </c>
      <c r="D56" s="81">
        <f>WORKSHEET!J$77/(1+WORKSHEET!$E$5)^(CFROI!D$52-CFROI!$A56)</f>
        <v>334.82827301414716</v>
      </c>
      <c r="E56" s="81">
        <f>WORKSHEET!K$77/(1+WORKSHEET!$E$5)^(CFROI!E$52-CFROI!$A56)</f>
        <v>311.7828636689426</v>
      </c>
      <c r="F56" s="81">
        <f>WORKSHEET!L$77/(1+WORKSHEET!$E$5)^(CFROI!F$52-CFROI!$A56)</f>
        <v>158.59596006241787</v>
      </c>
      <c r="G56" s="81">
        <f>WORKSHEET!M$77/(1+WORKSHEET!$E$5)^(CFROI!G$52-CFROI!$A56)</f>
        <v>56.92140725501489</v>
      </c>
      <c r="H56" s="81">
        <f>WORKSHEET!N$77/(1+WORKSHEET!$E$5)^(CFROI!H$52-CFROI!$A56)</f>
        <v>0</v>
      </c>
      <c r="I56" s="81">
        <f>WORKSHEET!O$77/(1+WORKSHEET!$E$5)^(CFROI!I$52-CFROI!$A56)</f>
        <v>0</v>
      </c>
      <c r="J56" s="81">
        <f>WORKSHEET!P$77/(1+WORKSHEET!$E$5)^(CFROI!J$52-CFROI!$A56)</f>
        <v>0</v>
      </c>
      <c r="K56" s="81">
        <f>WORKSHEET!Q$77/(1+WORKSHEET!$E$5)^(CFROI!K$52-CFROI!$A56)</f>
        <v>0</v>
      </c>
      <c r="L56" s="81">
        <f>WORKSHEET!R$77/(1+WORKSHEET!$E$5)^(CFROI!L$52-CFROI!$A56)</f>
        <v>0</v>
      </c>
      <c r="M56" s="81">
        <f>WORKSHEET!S$77/(1+WORKSHEET!$E$5)^(CFROI!M$52-CFROI!$A56)</f>
        <v>0</v>
      </c>
      <c r="N56" s="81">
        <f>WORKSHEET!T$77/(1+WORKSHEET!$E$5)^(CFROI!N$52-CFROI!$A56)</f>
        <v>0</v>
      </c>
      <c r="O56" s="81">
        <f>WORKSHEET!U$77/(1+WORKSHEET!$E$5)^(CFROI!O$52-CFROI!$A56)</f>
        <v>0</v>
      </c>
      <c r="P56" s="81">
        <f>WORKSHEET!V$77/(1+WORKSHEET!$E$5)^(CFROI!P$52-CFROI!$A56)</f>
        <v>0</v>
      </c>
      <c r="Q56" s="81">
        <f>WORKSHEET!W$77/(1+WORKSHEET!$E$5)^(CFROI!Q$52-CFROI!$A56)</f>
        <v>0</v>
      </c>
      <c r="R56" s="76">
        <f>WORKSHEET!X$77/(1+WORKSHEET!$E$5)^(CFROI!R$52-CFROI!$A56)</f>
        <v>0</v>
      </c>
    </row>
    <row r="57" spans="1:18" ht="12.75">
      <c r="A57" s="13">
        <f t="shared" si="4"/>
        <v>6</v>
      </c>
      <c r="B57" s="75">
        <f>WORKSHEET!H$77/(1+WORKSHEET!$E$5)^(CFROI!B$52-CFROI!$A57)</f>
        <v>398.1857362637364</v>
      </c>
      <c r="C57" s="81">
        <f>WORKSHEET!I$77/(1+WORKSHEET!$E$5)^(CFROI!C$52-CFROI!$A57)</f>
        <v>386.1920525219873</v>
      </c>
      <c r="D57" s="81">
        <f>WORKSHEET!J$77/(1+WORKSHEET!$E$5)^(CFROI!D$52-CFROI!$A57)</f>
        <v>368.31110031556193</v>
      </c>
      <c r="E57" s="81">
        <f>WORKSHEET!K$77/(1+WORKSHEET!$E$5)^(CFROI!E$52-CFROI!$A57)</f>
        <v>342.96115003583685</v>
      </c>
      <c r="F57" s="81">
        <f>WORKSHEET!L$77/(1+WORKSHEET!$E$5)^(CFROI!F$52-CFROI!$A57)</f>
        <v>174.4555560686597</v>
      </c>
      <c r="G57" s="81">
        <f>WORKSHEET!M$77/(1+WORKSHEET!$E$5)^(CFROI!G$52-CFROI!$A57)</f>
        <v>62.61354798051638</v>
      </c>
      <c r="H57" s="81">
        <f>WORKSHEET!N$77/(1+WORKSHEET!$E$5)^(CFROI!H$52-CFROI!$A57)</f>
        <v>0</v>
      </c>
      <c r="I57" s="81">
        <f>WORKSHEET!O$77/(1+WORKSHEET!$E$5)^(CFROI!I$52-CFROI!$A57)</f>
        <v>0</v>
      </c>
      <c r="J57" s="81">
        <f>WORKSHEET!P$77/(1+WORKSHEET!$E$5)^(CFROI!J$52-CFROI!$A57)</f>
        <v>0</v>
      </c>
      <c r="K57" s="81">
        <f>WORKSHEET!Q$77/(1+WORKSHEET!$E$5)^(CFROI!K$52-CFROI!$A57)</f>
        <v>0</v>
      </c>
      <c r="L57" s="81">
        <f>WORKSHEET!R$77/(1+WORKSHEET!$E$5)^(CFROI!L$52-CFROI!$A57)</f>
        <v>0</v>
      </c>
      <c r="M57" s="81">
        <f>WORKSHEET!S$77/(1+WORKSHEET!$E$5)^(CFROI!M$52-CFROI!$A57)</f>
        <v>0</v>
      </c>
      <c r="N57" s="81">
        <f>WORKSHEET!T$77/(1+WORKSHEET!$E$5)^(CFROI!N$52-CFROI!$A57)</f>
        <v>0</v>
      </c>
      <c r="O57" s="81">
        <f>WORKSHEET!U$77/(1+WORKSHEET!$E$5)^(CFROI!O$52-CFROI!$A57)</f>
        <v>0</v>
      </c>
      <c r="P57" s="81">
        <f>WORKSHEET!V$77/(1+WORKSHEET!$E$5)^(CFROI!P$52-CFROI!$A57)</f>
        <v>0</v>
      </c>
      <c r="Q57" s="81">
        <f>WORKSHEET!W$77/(1+WORKSHEET!$E$5)^(CFROI!Q$52-CFROI!$A57)</f>
        <v>0</v>
      </c>
      <c r="R57" s="76">
        <f>WORKSHEET!X$77/(1+WORKSHEET!$E$5)^(CFROI!R$52-CFROI!$A57)</f>
        <v>0</v>
      </c>
    </row>
    <row r="58" spans="1:18" ht="12.75">
      <c r="A58" s="13">
        <f t="shared" si="4"/>
        <v>7</v>
      </c>
      <c r="B58" s="75">
        <f>WORKSHEET!H$77/(1+WORKSHEET!$E$5)^(CFROI!B$52-CFROI!$A58)</f>
        <v>438.00430989011005</v>
      </c>
      <c r="C58" s="81">
        <f>WORKSHEET!I$77/(1+WORKSHEET!$E$5)^(CFROI!C$52-CFROI!$A58)</f>
        <v>424.81125777418606</v>
      </c>
      <c r="D58" s="81">
        <f>WORKSHEET!J$77/(1+WORKSHEET!$E$5)^(CFROI!D$52-CFROI!$A58)</f>
        <v>405.1422103471181</v>
      </c>
      <c r="E58" s="81">
        <f>WORKSHEET!K$77/(1+WORKSHEET!$E$5)^(CFROI!E$52-CFROI!$A58)</f>
        <v>377.2572650394206</v>
      </c>
      <c r="F58" s="81">
        <f>WORKSHEET!L$77/(1+WORKSHEET!$E$5)^(CFROI!F$52-CFROI!$A58)</f>
        <v>191.9011116755257</v>
      </c>
      <c r="G58" s="81">
        <f>WORKSHEET!M$77/(1+WORKSHEET!$E$5)^(CFROI!G$52-CFROI!$A58)</f>
        <v>68.87490277856803</v>
      </c>
      <c r="H58" s="81">
        <f>WORKSHEET!N$77/(1+WORKSHEET!$E$5)^(CFROI!H$52-CFROI!$A58)</f>
        <v>0</v>
      </c>
      <c r="I58" s="81">
        <f>WORKSHEET!O$77/(1+WORKSHEET!$E$5)^(CFROI!I$52-CFROI!$A58)</f>
        <v>0</v>
      </c>
      <c r="J58" s="81">
        <f>WORKSHEET!P$77/(1+WORKSHEET!$E$5)^(CFROI!J$52-CFROI!$A58)</f>
        <v>0</v>
      </c>
      <c r="K58" s="81">
        <f>WORKSHEET!Q$77/(1+WORKSHEET!$E$5)^(CFROI!K$52-CFROI!$A58)</f>
        <v>0</v>
      </c>
      <c r="L58" s="81">
        <f>WORKSHEET!R$77/(1+WORKSHEET!$E$5)^(CFROI!L$52-CFROI!$A58)</f>
        <v>0</v>
      </c>
      <c r="M58" s="81">
        <f>WORKSHEET!S$77/(1+WORKSHEET!$E$5)^(CFROI!M$52-CFROI!$A58)</f>
        <v>0</v>
      </c>
      <c r="N58" s="81">
        <f>WORKSHEET!T$77/(1+WORKSHEET!$E$5)^(CFROI!N$52-CFROI!$A58)</f>
        <v>0</v>
      </c>
      <c r="O58" s="81">
        <f>WORKSHEET!U$77/(1+WORKSHEET!$E$5)^(CFROI!O$52-CFROI!$A58)</f>
        <v>0</v>
      </c>
      <c r="P58" s="81">
        <f>WORKSHEET!V$77/(1+WORKSHEET!$E$5)^(CFROI!P$52-CFROI!$A58)</f>
        <v>0</v>
      </c>
      <c r="Q58" s="81">
        <f>WORKSHEET!W$77/(1+WORKSHEET!$E$5)^(CFROI!Q$52-CFROI!$A58)</f>
        <v>0</v>
      </c>
      <c r="R58" s="76">
        <f>WORKSHEET!X$77/(1+WORKSHEET!$E$5)^(CFROI!R$52-CFROI!$A58)</f>
        <v>0</v>
      </c>
    </row>
    <row r="59" spans="1:18" ht="12.75">
      <c r="A59" s="13">
        <f t="shared" si="4"/>
        <v>8</v>
      </c>
      <c r="B59" s="75">
        <f>WORKSHEET!H$77/(1+WORKSHEET!$E$5)^(CFROI!B$52-CFROI!$A59)</f>
        <v>481.8047408791211</v>
      </c>
      <c r="C59" s="81">
        <f>WORKSHEET!I$77/(1+WORKSHEET!$E$5)^(CFROI!C$52-CFROI!$A59)</f>
        <v>467.29238355160476</v>
      </c>
      <c r="D59" s="81">
        <f>WORKSHEET!J$77/(1+WORKSHEET!$E$5)^(CFROI!D$52-CFROI!$A59)</f>
        <v>445.65643138183</v>
      </c>
      <c r="E59" s="81">
        <f>WORKSHEET!K$77/(1+WORKSHEET!$E$5)^(CFROI!E$52-CFROI!$A59)</f>
        <v>414.9829915433627</v>
      </c>
      <c r="F59" s="81">
        <f>WORKSHEET!L$77/(1+WORKSHEET!$E$5)^(CFROI!F$52-CFROI!$A59)</f>
        <v>211.09122284307827</v>
      </c>
      <c r="G59" s="81">
        <f>WORKSHEET!M$77/(1+WORKSHEET!$E$5)^(CFROI!G$52-CFROI!$A59)</f>
        <v>75.76239305642484</v>
      </c>
      <c r="H59" s="81">
        <f>WORKSHEET!N$77/(1+WORKSHEET!$E$5)^(CFROI!H$52-CFROI!$A59)</f>
        <v>0</v>
      </c>
      <c r="I59" s="81">
        <f>WORKSHEET!O$77/(1+WORKSHEET!$E$5)^(CFROI!I$52-CFROI!$A59)</f>
        <v>0</v>
      </c>
      <c r="J59" s="81">
        <f>WORKSHEET!P$77/(1+WORKSHEET!$E$5)^(CFROI!J$52-CFROI!$A59)</f>
        <v>0</v>
      </c>
      <c r="K59" s="81">
        <f>WORKSHEET!Q$77/(1+WORKSHEET!$E$5)^(CFROI!K$52-CFROI!$A59)</f>
        <v>0</v>
      </c>
      <c r="L59" s="81">
        <f>WORKSHEET!R$77/(1+WORKSHEET!$E$5)^(CFROI!L$52-CFROI!$A59)</f>
        <v>0</v>
      </c>
      <c r="M59" s="81">
        <f>WORKSHEET!S$77/(1+WORKSHEET!$E$5)^(CFROI!M$52-CFROI!$A59)</f>
        <v>0</v>
      </c>
      <c r="N59" s="81">
        <f>WORKSHEET!T$77/(1+WORKSHEET!$E$5)^(CFROI!N$52-CFROI!$A59)</f>
        <v>0</v>
      </c>
      <c r="O59" s="81">
        <f>WORKSHEET!U$77/(1+WORKSHEET!$E$5)^(CFROI!O$52-CFROI!$A59)</f>
        <v>0</v>
      </c>
      <c r="P59" s="81">
        <f>WORKSHEET!V$77/(1+WORKSHEET!$E$5)^(CFROI!P$52-CFROI!$A59)</f>
        <v>0</v>
      </c>
      <c r="Q59" s="81">
        <f>WORKSHEET!W$77/(1+WORKSHEET!$E$5)^(CFROI!Q$52-CFROI!$A59)</f>
        <v>0</v>
      </c>
      <c r="R59" s="76">
        <f>WORKSHEET!X$77/(1+WORKSHEET!$E$5)^(CFROI!R$52-CFROI!$A59)</f>
        <v>0</v>
      </c>
    </row>
    <row r="60" spans="1:18" ht="12.75">
      <c r="A60" s="13">
        <f t="shared" si="4"/>
        <v>9</v>
      </c>
      <c r="B60" s="75">
        <f>WORKSHEET!H$77/(1+WORKSHEET!$E$5)^(CFROI!B$52-CFROI!$A60)</f>
        <v>529.9852149670332</v>
      </c>
      <c r="C60" s="81">
        <f>WORKSHEET!I$77/(1+WORKSHEET!$E$5)^(CFROI!C$52-CFROI!$A60)</f>
        <v>514.0216219067652</v>
      </c>
      <c r="D60" s="81">
        <f>WORKSHEET!J$77/(1+WORKSHEET!$E$5)^(CFROI!D$52-CFROI!$A60)</f>
        <v>490.22207452001305</v>
      </c>
      <c r="E60" s="81">
        <f>WORKSHEET!K$77/(1+WORKSHEET!$E$5)^(CFROI!E$52-CFROI!$A60)</f>
        <v>456.48129069769897</v>
      </c>
      <c r="F60" s="81">
        <f>WORKSHEET!L$77/(1+WORKSHEET!$E$5)^(CFROI!F$52-CFROI!$A60)</f>
        <v>232.2003451273861</v>
      </c>
      <c r="G60" s="81">
        <f>WORKSHEET!M$77/(1+WORKSHEET!$E$5)^(CFROI!G$52-CFROI!$A60)</f>
        <v>83.33863236206733</v>
      </c>
      <c r="H60" s="81">
        <f>WORKSHEET!N$77/(1+WORKSHEET!$E$5)^(CFROI!H$52-CFROI!$A60)</f>
        <v>0</v>
      </c>
      <c r="I60" s="81">
        <f>WORKSHEET!O$77/(1+WORKSHEET!$E$5)^(CFROI!I$52-CFROI!$A60)</f>
        <v>0</v>
      </c>
      <c r="J60" s="81">
        <f>WORKSHEET!P$77/(1+WORKSHEET!$E$5)^(CFROI!J$52-CFROI!$A60)</f>
        <v>0</v>
      </c>
      <c r="K60" s="81">
        <f>WORKSHEET!Q$77/(1+WORKSHEET!$E$5)^(CFROI!K$52-CFROI!$A60)</f>
        <v>0</v>
      </c>
      <c r="L60" s="81">
        <f>WORKSHEET!R$77/(1+WORKSHEET!$E$5)^(CFROI!L$52-CFROI!$A60)</f>
        <v>0</v>
      </c>
      <c r="M60" s="81">
        <f>WORKSHEET!S$77/(1+WORKSHEET!$E$5)^(CFROI!M$52-CFROI!$A60)</f>
        <v>0</v>
      </c>
      <c r="N60" s="81">
        <f>WORKSHEET!T$77/(1+WORKSHEET!$E$5)^(CFROI!N$52-CFROI!$A60)</f>
        <v>0</v>
      </c>
      <c r="O60" s="81">
        <f>WORKSHEET!U$77/(1+WORKSHEET!$E$5)^(CFROI!O$52-CFROI!$A60)</f>
        <v>0</v>
      </c>
      <c r="P60" s="81">
        <f>WORKSHEET!V$77/(1+WORKSHEET!$E$5)^(CFROI!P$52-CFROI!$A60)</f>
        <v>0</v>
      </c>
      <c r="Q60" s="81">
        <f>WORKSHEET!W$77/(1+WORKSHEET!$E$5)^(CFROI!Q$52-CFROI!$A60)</f>
        <v>0</v>
      </c>
      <c r="R60" s="76">
        <f>WORKSHEET!X$77/(1+WORKSHEET!$E$5)^(CFROI!R$52-CFROI!$A60)</f>
        <v>0</v>
      </c>
    </row>
    <row r="61" spans="1:18" ht="12.75">
      <c r="A61" s="13">
        <f t="shared" si="4"/>
        <v>10</v>
      </c>
      <c r="B61" s="75">
        <f>WORKSHEET!H$77/(1+WORKSHEET!$E$5)^(CFROI!B$52-CFROI!$A61)</f>
        <v>582.9837364637366</v>
      </c>
      <c r="C61" s="81">
        <f>WORKSHEET!I$77/(1+WORKSHEET!$E$5)^(CFROI!C$52-CFROI!$A61)</f>
        <v>565.4237840974419</v>
      </c>
      <c r="D61" s="81">
        <f>WORKSHEET!J$77/(1+WORKSHEET!$E$5)^(CFROI!D$52-CFROI!$A61)</f>
        <v>539.2442819720144</v>
      </c>
      <c r="E61" s="81">
        <f>WORKSHEET!K$77/(1+WORKSHEET!$E$5)^(CFROI!E$52-CFROI!$A61)</f>
        <v>502.12941976746896</v>
      </c>
      <c r="F61" s="81">
        <f>WORKSHEET!L$77/(1+WORKSHEET!$E$5)^(CFROI!F$52-CFROI!$A61)</f>
        <v>255.42037964012474</v>
      </c>
      <c r="G61" s="81">
        <f>WORKSHEET!M$77/(1+WORKSHEET!$E$5)^(CFROI!G$52-CFROI!$A61)</f>
        <v>91.67249559827407</v>
      </c>
      <c r="H61" s="81">
        <f>WORKSHEET!N$77/(1+WORKSHEET!$E$5)^(CFROI!H$52-CFROI!$A61)</f>
        <v>0</v>
      </c>
      <c r="I61" s="81">
        <f>WORKSHEET!O$77/(1+WORKSHEET!$E$5)^(CFROI!I$52-CFROI!$A61)</f>
        <v>0</v>
      </c>
      <c r="J61" s="81">
        <f>WORKSHEET!P$77/(1+WORKSHEET!$E$5)^(CFROI!J$52-CFROI!$A61)</f>
        <v>0</v>
      </c>
      <c r="K61" s="81">
        <f>WORKSHEET!Q$77/(1+WORKSHEET!$E$5)^(CFROI!K$52-CFROI!$A61)</f>
        <v>0</v>
      </c>
      <c r="L61" s="81">
        <f>WORKSHEET!R$77/(1+WORKSHEET!$E$5)^(CFROI!L$52-CFROI!$A61)</f>
        <v>0</v>
      </c>
      <c r="M61" s="81">
        <f>WORKSHEET!S$77/(1+WORKSHEET!$E$5)^(CFROI!M$52-CFROI!$A61)</f>
        <v>0</v>
      </c>
      <c r="N61" s="81">
        <f>WORKSHEET!T$77/(1+WORKSHEET!$E$5)^(CFROI!N$52-CFROI!$A61)</f>
        <v>0</v>
      </c>
      <c r="O61" s="81">
        <f>WORKSHEET!U$77/(1+WORKSHEET!$E$5)^(CFROI!O$52-CFROI!$A61)</f>
        <v>0</v>
      </c>
      <c r="P61" s="81">
        <f>WORKSHEET!V$77/(1+WORKSHEET!$E$5)^(CFROI!P$52-CFROI!$A61)</f>
        <v>0</v>
      </c>
      <c r="Q61" s="81">
        <f>WORKSHEET!W$77/(1+WORKSHEET!$E$5)^(CFROI!Q$52-CFROI!$A61)</f>
        <v>0</v>
      </c>
      <c r="R61" s="76">
        <f>WORKSHEET!X$77/(1+WORKSHEET!$E$5)^(CFROI!R$52-CFROI!$A61)</f>
        <v>0</v>
      </c>
    </row>
    <row r="62" spans="1:18" ht="12.75">
      <c r="A62" s="13">
        <f t="shared" si="4"/>
        <v>11</v>
      </c>
      <c r="B62" s="75">
        <f>WORKSHEET!H$77/(1+WORKSHEET!$E$5)^(CFROI!B$52-CFROI!$A62)</f>
        <v>641.2821101101104</v>
      </c>
      <c r="C62" s="81">
        <f>WORKSHEET!I$77/(1+WORKSHEET!$E$5)^(CFROI!C$52-CFROI!$A62)</f>
        <v>621.966162507186</v>
      </c>
      <c r="D62" s="81">
        <f>WORKSHEET!J$77/(1+WORKSHEET!$E$5)^(CFROI!D$52-CFROI!$A62)</f>
        <v>593.1687101692158</v>
      </c>
      <c r="E62" s="81">
        <f>WORKSHEET!K$77/(1+WORKSHEET!$E$5)^(CFROI!E$52-CFROI!$A62)</f>
        <v>552.3423617442159</v>
      </c>
      <c r="F62" s="81">
        <f>WORKSHEET!L$77/(1+WORKSHEET!$E$5)^(CFROI!F$52-CFROI!$A62)</f>
        <v>280.9624176041373</v>
      </c>
      <c r="G62" s="81">
        <f>WORKSHEET!M$77/(1+WORKSHEET!$E$5)^(CFROI!G$52-CFROI!$A62)</f>
        <v>100.83974515810148</v>
      </c>
      <c r="H62" s="81">
        <f>WORKSHEET!N$77/(1+WORKSHEET!$E$5)^(CFROI!H$52-CFROI!$A62)</f>
        <v>0</v>
      </c>
      <c r="I62" s="81">
        <f>WORKSHEET!O$77/(1+WORKSHEET!$E$5)^(CFROI!I$52-CFROI!$A62)</f>
        <v>0</v>
      </c>
      <c r="J62" s="81">
        <f>WORKSHEET!P$77/(1+WORKSHEET!$E$5)^(CFROI!J$52-CFROI!$A62)</f>
        <v>0</v>
      </c>
      <c r="K62" s="81">
        <f>WORKSHEET!Q$77/(1+WORKSHEET!$E$5)^(CFROI!K$52-CFROI!$A62)</f>
        <v>0</v>
      </c>
      <c r="L62" s="81">
        <f>WORKSHEET!R$77/(1+WORKSHEET!$E$5)^(CFROI!L$52-CFROI!$A62)</f>
        <v>0</v>
      </c>
      <c r="M62" s="81">
        <f>WORKSHEET!S$77/(1+WORKSHEET!$E$5)^(CFROI!M$52-CFROI!$A62)</f>
        <v>0</v>
      </c>
      <c r="N62" s="81">
        <f>WORKSHEET!T$77/(1+WORKSHEET!$E$5)^(CFROI!N$52-CFROI!$A62)</f>
        <v>0</v>
      </c>
      <c r="O62" s="81">
        <f>WORKSHEET!U$77/(1+WORKSHEET!$E$5)^(CFROI!O$52-CFROI!$A62)</f>
        <v>0</v>
      </c>
      <c r="P62" s="81">
        <f>WORKSHEET!V$77/(1+WORKSHEET!$E$5)^(CFROI!P$52-CFROI!$A62)</f>
        <v>0</v>
      </c>
      <c r="Q62" s="81">
        <f>WORKSHEET!W$77/(1+WORKSHEET!$E$5)^(CFROI!Q$52-CFROI!$A62)</f>
        <v>0</v>
      </c>
      <c r="R62" s="76">
        <f>WORKSHEET!X$77/(1+WORKSHEET!$E$5)^(CFROI!R$52-CFROI!$A62)</f>
        <v>0</v>
      </c>
    </row>
    <row r="63" spans="1:18" ht="12.75">
      <c r="A63" s="13">
        <f t="shared" si="4"/>
        <v>12</v>
      </c>
      <c r="B63" s="75">
        <f>WORKSHEET!H$77/(1+WORKSHEET!$E$5)^(CFROI!B$52-CFROI!$A63)</f>
        <v>705.4103211211213</v>
      </c>
      <c r="C63" s="81">
        <f>WORKSHEET!I$77/(1+WORKSHEET!$E$5)^(CFROI!C$52-CFROI!$A63)</f>
        <v>684.1627787579048</v>
      </c>
      <c r="D63" s="81">
        <f>WORKSHEET!J$77/(1+WORKSHEET!$E$5)^(CFROI!D$52-CFROI!$A63)</f>
        <v>652.4855811861374</v>
      </c>
      <c r="E63" s="81">
        <f>WORKSHEET!K$77/(1+WORKSHEET!$E$5)^(CFROI!E$52-CFROI!$A63)</f>
        <v>607.5765979186375</v>
      </c>
      <c r="F63" s="81">
        <f>WORKSHEET!L$77/(1+WORKSHEET!$E$5)^(CFROI!F$52-CFROI!$A63)</f>
        <v>309.058659364551</v>
      </c>
      <c r="G63" s="81">
        <f>WORKSHEET!M$77/(1+WORKSHEET!$E$5)^(CFROI!G$52-CFROI!$A63)</f>
        <v>110.92371967391165</v>
      </c>
      <c r="H63" s="81">
        <f>WORKSHEET!N$77/(1+WORKSHEET!$E$5)^(CFROI!H$52-CFROI!$A63)</f>
        <v>0</v>
      </c>
      <c r="I63" s="81">
        <f>WORKSHEET!O$77/(1+WORKSHEET!$E$5)^(CFROI!I$52-CFROI!$A63)</f>
        <v>0</v>
      </c>
      <c r="J63" s="81">
        <f>WORKSHEET!P$77/(1+WORKSHEET!$E$5)^(CFROI!J$52-CFROI!$A63)</f>
        <v>0</v>
      </c>
      <c r="K63" s="81">
        <f>WORKSHEET!Q$77/(1+WORKSHEET!$E$5)^(CFROI!K$52-CFROI!$A63)</f>
        <v>0</v>
      </c>
      <c r="L63" s="81">
        <f>WORKSHEET!R$77/(1+WORKSHEET!$E$5)^(CFROI!L$52-CFROI!$A63)</f>
        <v>0</v>
      </c>
      <c r="M63" s="81">
        <f>WORKSHEET!S$77/(1+WORKSHEET!$E$5)^(CFROI!M$52-CFROI!$A63)</f>
        <v>0</v>
      </c>
      <c r="N63" s="81">
        <f>WORKSHEET!T$77/(1+WORKSHEET!$E$5)^(CFROI!N$52-CFROI!$A63)</f>
        <v>0</v>
      </c>
      <c r="O63" s="81">
        <f>WORKSHEET!U$77/(1+WORKSHEET!$E$5)^(CFROI!O$52-CFROI!$A63)</f>
        <v>0</v>
      </c>
      <c r="P63" s="81">
        <f>WORKSHEET!V$77/(1+WORKSHEET!$E$5)^(CFROI!P$52-CFROI!$A63)</f>
        <v>0</v>
      </c>
      <c r="Q63" s="81">
        <f>WORKSHEET!W$77/(1+WORKSHEET!$E$5)^(CFROI!Q$52-CFROI!$A63)</f>
        <v>0</v>
      </c>
      <c r="R63" s="76">
        <f>WORKSHEET!X$77/(1+WORKSHEET!$E$5)^(CFROI!R$52-CFROI!$A63)</f>
        <v>0</v>
      </c>
    </row>
    <row r="64" spans="1:18" ht="12.75">
      <c r="A64" s="13">
        <f t="shared" si="4"/>
        <v>13</v>
      </c>
      <c r="B64" s="75">
        <f>WORKSHEET!H$77/(1+WORKSHEET!$E$5)^(CFROI!B$52-CFROI!$A64)</f>
        <v>775.9513532332336</v>
      </c>
      <c r="C64" s="81">
        <f>WORKSHEET!I$77/(1+WORKSHEET!$E$5)^(CFROI!C$52-CFROI!$A64)</f>
        <v>752.5790566336952</v>
      </c>
      <c r="D64" s="81">
        <f>WORKSHEET!J$77/(1+WORKSHEET!$E$5)^(CFROI!D$52-CFROI!$A64)</f>
        <v>717.7341393047514</v>
      </c>
      <c r="E64" s="81">
        <f>WORKSHEET!K$77/(1+WORKSHEET!$E$5)^(CFROI!E$52-CFROI!$A64)</f>
        <v>668.3342577105012</v>
      </c>
      <c r="F64" s="81">
        <f>WORKSHEET!L$77/(1+WORKSHEET!$E$5)^(CFROI!F$52-CFROI!$A64)</f>
        <v>339.9645253010061</v>
      </c>
      <c r="G64" s="81">
        <f>WORKSHEET!M$77/(1+WORKSHEET!$E$5)^(CFROI!G$52-CFROI!$A64)</f>
        <v>122.01609164130281</v>
      </c>
      <c r="H64" s="81">
        <f>WORKSHEET!N$77/(1+WORKSHEET!$E$5)^(CFROI!H$52-CFROI!$A64)</f>
        <v>0</v>
      </c>
      <c r="I64" s="81">
        <f>WORKSHEET!O$77/(1+WORKSHEET!$E$5)^(CFROI!I$52-CFROI!$A64)</f>
        <v>0</v>
      </c>
      <c r="J64" s="81">
        <f>WORKSHEET!P$77/(1+WORKSHEET!$E$5)^(CFROI!J$52-CFROI!$A64)</f>
        <v>0</v>
      </c>
      <c r="K64" s="81">
        <f>WORKSHEET!Q$77/(1+WORKSHEET!$E$5)^(CFROI!K$52-CFROI!$A64)</f>
        <v>0</v>
      </c>
      <c r="L64" s="81">
        <f>WORKSHEET!R$77/(1+WORKSHEET!$E$5)^(CFROI!L$52-CFROI!$A64)</f>
        <v>0</v>
      </c>
      <c r="M64" s="81">
        <f>WORKSHEET!S$77/(1+WORKSHEET!$E$5)^(CFROI!M$52-CFROI!$A64)</f>
        <v>0</v>
      </c>
      <c r="N64" s="81">
        <f>WORKSHEET!T$77/(1+WORKSHEET!$E$5)^(CFROI!N$52-CFROI!$A64)</f>
        <v>0</v>
      </c>
      <c r="O64" s="81">
        <f>WORKSHEET!U$77/(1+WORKSHEET!$E$5)^(CFROI!O$52-CFROI!$A64)</f>
        <v>0</v>
      </c>
      <c r="P64" s="81">
        <f>WORKSHEET!V$77/(1+WORKSHEET!$E$5)^(CFROI!P$52-CFROI!$A64)</f>
        <v>0</v>
      </c>
      <c r="Q64" s="81">
        <f>WORKSHEET!W$77/(1+WORKSHEET!$E$5)^(CFROI!Q$52-CFROI!$A64)</f>
        <v>0</v>
      </c>
      <c r="R64" s="76">
        <f>WORKSHEET!X$77/(1+WORKSHEET!$E$5)^(CFROI!R$52-CFROI!$A64)</f>
        <v>0</v>
      </c>
    </row>
    <row r="65" spans="1:18" ht="12.75">
      <c r="A65" s="13">
        <f t="shared" si="4"/>
        <v>14</v>
      </c>
      <c r="B65" s="75">
        <f>WORKSHEET!H$77/(1+WORKSHEET!$E$5)^(CFROI!B$52-CFROI!$A65)</f>
        <v>853.5464885565569</v>
      </c>
      <c r="C65" s="81">
        <f>WORKSHEET!I$77/(1+WORKSHEET!$E$5)^(CFROI!C$52-CFROI!$A65)</f>
        <v>827.8369622970647</v>
      </c>
      <c r="D65" s="81">
        <f>WORKSHEET!J$77/(1+WORKSHEET!$E$5)^(CFROI!D$52-CFROI!$A65)</f>
        <v>789.5075532352265</v>
      </c>
      <c r="E65" s="81">
        <f>WORKSHEET!K$77/(1+WORKSHEET!$E$5)^(CFROI!E$52-CFROI!$A65)</f>
        <v>735.1676834815515</v>
      </c>
      <c r="F65" s="81">
        <f>WORKSHEET!L$77/(1+WORKSHEET!$E$5)^(CFROI!F$52-CFROI!$A65)</f>
        <v>373.96097783110673</v>
      </c>
      <c r="G65" s="81">
        <f>WORKSHEET!M$77/(1+WORKSHEET!$E$5)^(CFROI!G$52-CFROI!$A65)</f>
        <v>134.2177008054331</v>
      </c>
      <c r="H65" s="81">
        <f>WORKSHEET!N$77/(1+WORKSHEET!$E$5)^(CFROI!H$52-CFROI!$A65)</f>
        <v>0</v>
      </c>
      <c r="I65" s="81">
        <f>WORKSHEET!O$77/(1+WORKSHEET!$E$5)^(CFROI!I$52-CFROI!$A65)</f>
        <v>0</v>
      </c>
      <c r="J65" s="81">
        <f>WORKSHEET!P$77/(1+WORKSHEET!$E$5)^(CFROI!J$52-CFROI!$A65)</f>
        <v>0</v>
      </c>
      <c r="K65" s="81">
        <f>WORKSHEET!Q$77/(1+WORKSHEET!$E$5)^(CFROI!K$52-CFROI!$A65)</f>
        <v>0</v>
      </c>
      <c r="L65" s="81">
        <f>WORKSHEET!R$77/(1+WORKSHEET!$E$5)^(CFROI!L$52-CFROI!$A65)</f>
        <v>0</v>
      </c>
      <c r="M65" s="81">
        <f>WORKSHEET!S$77/(1+WORKSHEET!$E$5)^(CFROI!M$52-CFROI!$A65)</f>
        <v>0</v>
      </c>
      <c r="N65" s="81">
        <f>WORKSHEET!T$77/(1+WORKSHEET!$E$5)^(CFROI!N$52-CFROI!$A65)</f>
        <v>0</v>
      </c>
      <c r="O65" s="81">
        <f>WORKSHEET!U$77/(1+WORKSHEET!$E$5)^(CFROI!O$52-CFROI!$A65)</f>
        <v>0</v>
      </c>
      <c r="P65" s="81">
        <f>WORKSHEET!V$77/(1+WORKSHEET!$E$5)^(CFROI!P$52-CFROI!$A65)</f>
        <v>0</v>
      </c>
      <c r="Q65" s="81">
        <f>WORKSHEET!W$77/(1+WORKSHEET!$E$5)^(CFROI!Q$52-CFROI!$A65)</f>
        <v>0</v>
      </c>
      <c r="R65" s="76">
        <f>WORKSHEET!X$77/(1+WORKSHEET!$E$5)^(CFROI!R$52-CFROI!$A65)</f>
        <v>0</v>
      </c>
    </row>
    <row r="66" spans="1:18" ht="12.75">
      <c r="A66" s="13">
        <f t="shared" si="4"/>
        <v>15</v>
      </c>
      <c r="B66" s="75">
        <f>WORKSHEET!H$77/(1+WORKSHEET!$E$5)^(CFROI!B$52-CFROI!$A66)</f>
        <v>938.9011374122128</v>
      </c>
      <c r="C66" s="81">
        <f>WORKSHEET!I$77/(1+WORKSHEET!$E$5)^(CFROI!C$52-CFROI!$A66)</f>
        <v>910.6206585267713</v>
      </c>
      <c r="D66" s="81">
        <f>WORKSHEET!J$77/(1+WORKSHEET!$E$5)^(CFROI!D$52-CFROI!$A66)</f>
        <v>868.4583085587492</v>
      </c>
      <c r="E66" s="81">
        <f>WORKSHEET!K$77/(1+WORKSHEET!$E$5)^(CFROI!E$52-CFROI!$A66)</f>
        <v>808.6844518297066</v>
      </c>
      <c r="F66" s="81">
        <f>WORKSHEET!L$77/(1+WORKSHEET!$E$5)^(CFROI!F$52-CFROI!$A66)</f>
        <v>411.3570756142175</v>
      </c>
      <c r="G66" s="81">
        <f>WORKSHEET!M$77/(1+WORKSHEET!$E$5)^(CFROI!G$52-CFROI!$A66)</f>
        <v>147.6394708859764</v>
      </c>
      <c r="H66" s="81">
        <f>WORKSHEET!N$77/(1+WORKSHEET!$E$5)^(CFROI!H$52-CFROI!$A66)</f>
        <v>0</v>
      </c>
      <c r="I66" s="81">
        <f>WORKSHEET!O$77/(1+WORKSHEET!$E$5)^(CFROI!I$52-CFROI!$A66)</f>
        <v>0</v>
      </c>
      <c r="J66" s="81">
        <f>WORKSHEET!P$77/(1+WORKSHEET!$E$5)^(CFROI!J$52-CFROI!$A66)</f>
        <v>0</v>
      </c>
      <c r="K66" s="81">
        <f>WORKSHEET!Q$77/(1+WORKSHEET!$E$5)^(CFROI!K$52-CFROI!$A66)</f>
        <v>0</v>
      </c>
      <c r="L66" s="81">
        <f>WORKSHEET!R$77/(1+WORKSHEET!$E$5)^(CFROI!L$52-CFROI!$A66)</f>
        <v>0</v>
      </c>
      <c r="M66" s="81">
        <f>WORKSHEET!S$77/(1+WORKSHEET!$E$5)^(CFROI!M$52-CFROI!$A66)</f>
        <v>0</v>
      </c>
      <c r="N66" s="81">
        <f>WORKSHEET!T$77/(1+WORKSHEET!$E$5)^(CFROI!N$52-CFROI!$A66)</f>
        <v>0</v>
      </c>
      <c r="O66" s="81">
        <f>WORKSHEET!U$77/(1+WORKSHEET!$E$5)^(CFROI!O$52-CFROI!$A66)</f>
        <v>0</v>
      </c>
      <c r="P66" s="81">
        <f>WORKSHEET!V$77/(1+WORKSHEET!$E$5)^(CFROI!P$52-CFROI!$A66)</f>
        <v>0</v>
      </c>
      <c r="Q66" s="81">
        <f>WORKSHEET!W$77/(1+WORKSHEET!$E$5)^(CFROI!Q$52-CFROI!$A66)</f>
        <v>0</v>
      </c>
      <c r="R66" s="76">
        <f>WORKSHEET!X$77/(1+WORKSHEET!$E$5)^(CFROI!R$52-CFROI!$A66)</f>
        <v>0</v>
      </c>
    </row>
    <row r="67" spans="1:18" ht="12.75">
      <c r="A67" s="13">
        <f t="shared" si="4"/>
        <v>16</v>
      </c>
      <c r="B67" s="75">
        <f>WORKSHEET!H$77/(1+WORKSHEET!$E$5)^(CFROI!B$52-CFROI!$A67)</f>
        <v>1032.7912511534341</v>
      </c>
      <c r="C67" s="81">
        <f>WORKSHEET!I$77/(1+WORKSHEET!$E$5)^(CFROI!C$52-CFROI!$A67)</f>
        <v>1001.6827243794486</v>
      </c>
      <c r="D67" s="81">
        <f>WORKSHEET!J$77/(1+WORKSHEET!$E$5)^(CFROI!D$52-CFROI!$A67)</f>
        <v>955.3041394146242</v>
      </c>
      <c r="E67" s="81">
        <f>WORKSHEET!K$77/(1+WORKSHEET!$E$5)^(CFROI!E$52-CFROI!$A67)</f>
        <v>889.5528970126774</v>
      </c>
      <c r="F67" s="81">
        <f>WORKSHEET!L$77/(1+WORKSHEET!$E$5)^(CFROI!F$52-CFROI!$A67)</f>
        <v>452.4927831756392</v>
      </c>
      <c r="G67" s="81">
        <f>WORKSHEET!M$77/(1+WORKSHEET!$E$5)^(CFROI!G$52-CFROI!$A67)</f>
        <v>162.4034179745741</v>
      </c>
      <c r="H67" s="81">
        <f>WORKSHEET!N$77/(1+WORKSHEET!$E$5)^(CFROI!H$52-CFROI!$A67)</f>
        <v>0</v>
      </c>
      <c r="I67" s="81">
        <f>WORKSHEET!O$77/(1+WORKSHEET!$E$5)^(CFROI!I$52-CFROI!$A67)</f>
        <v>0</v>
      </c>
      <c r="J67" s="81">
        <f>WORKSHEET!P$77/(1+WORKSHEET!$E$5)^(CFROI!J$52-CFROI!$A67)</f>
        <v>0</v>
      </c>
      <c r="K67" s="81">
        <f>WORKSHEET!Q$77/(1+WORKSHEET!$E$5)^(CFROI!K$52-CFROI!$A67)</f>
        <v>0</v>
      </c>
      <c r="L67" s="81">
        <f>WORKSHEET!R$77/(1+WORKSHEET!$E$5)^(CFROI!L$52-CFROI!$A67)</f>
        <v>0</v>
      </c>
      <c r="M67" s="81">
        <f>WORKSHEET!S$77/(1+WORKSHEET!$E$5)^(CFROI!M$52-CFROI!$A67)</f>
        <v>0</v>
      </c>
      <c r="N67" s="81">
        <f>WORKSHEET!T$77/(1+WORKSHEET!$E$5)^(CFROI!N$52-CFROI!$A67)</f>
        <v>0</v>
      </c>
      <c r="O67" s="81">
        <f>WORKSHEET!U$77/(1+WORKSHEET!$E$5)^(CFROI!O$52-CFROI!$A67)</f>
        <v>0</v>
      </c>
      <c r="P67" s="81">
        <f>WORKSHEET!V$77/(1+WORKSHEET!$E$5)^(CFROI!P$52-CFROI!$A67)</f>
        <v>0</v>
      </c>
      <c r="Q67" s="81">
        <f>WORKSHEET!W$77/(1+WORKSHEET!$E$5)^(CFROI!Q$52-CFROI!$A67)</f>
        <v>0</v>
      </c>
      <c r="R67" s="76">
        <f>WORKSHEET!X$77/(1+WORKSHEET!$E$5)^(CFROI!R$52-CFROI!$A67)</f>
        <v>0</v>
      </c>
    </row>
    <row r="68" spans="1:18" ht="12.75">
      <c r="A68" s="13">
        <f t="shared" si="4"/>
        <v>17</v>
      </c>
      <c r="B68" s="75">
        <f>WORKSHEET!H$77/(1+WORKSHEET!$E$5)^(CFROI!B$52-CFROI!$A68)</f>
        <v>1136.0703762687774</v>
      </c>
      <c r="C68" s="81">
        <f>WORKSHEET!I$77/(1+WORKSHEET!$E$5)^(CFROI!C$52-CFROI!$A68)</f>
        <v>1101.8509968173935</v>
      </c>
      <c r="D68" s="81">
        <f>WORKSHEET!J$77/(1+WORKSHEET!$E$5)^(CFROI!D$52-CFROI!$A68)</f>
        <v>1050.8345533560866</v>
      </c>
      <c r="E68" s="81">
        <f>WORKSHEET!K$77/(1+WORKSHEET!$E$5)^(CFROI!E$52-CFROI!$A68)</f>
        <v>978.5081867139452</v>
      </c>
      <c r="F68" s="81">
        <f>WORKSHEET!L$77/(1+WORKSHEET!$E$5)^(CFROI!F$52-CFROI!$A68)</f>
        <v>497.74206149320315</v>
      </c>
      <c r="G68" s="81">
        <f>WORKSHEET!M$77/(1+WORKSHEET!$E$5)^(CFROI!G$52-CFROI!$A68)</f>
        <v>178.6437597720315</v>
      </c>
      <c r="H68" s="81">
        <f>WORKSHEET!N$77/(1+WORKSHEET!$E$5)^(CFROI!H$52-CFROI!$A68)</f>
        <v>0</v>
      </c>
      <c r="I68" s="81">
        <f>WORKSHEET!O$77/(1+WORKSHEET!$E$5)^(CFROI!I$52-CFROI!$A68)</f>
        <v>0</v>
      </c>
      <c r="J68" s="81">
        <f>WORKSHEET!P$77/(1+WORKSHEET!$E$5)^(CFROI!J$52-CFROI!$A68)</f>
        <v>0</v>
      </c>
      <c r="K68" s="81">
        <f>WORKSHEET!Q$77/(1+WORKSHEET!$E$5)^(CFROI!K$52-CFROI!$A68)</f>
        <v>0</v>
      </c>
      <c r="L68" s="81">
        <f>WORKSHEET!R$77/(1+WORKSHEET!$E$5)^(CFROI!L$52-CFROI!$A68)</f>
        <v>0</v>
      </c>
      <c r="M68" s="81">
        <f>WORKSHEET!S$77/(1+WORKSHEET!$E$5)^(CFROI!M$52-CFROI!$A68)</f>
        <v>0</v>
      </c>
      <c r="N68" s="81">
        <f>WORKSHEET!T$77/(1+WORKSHEET!$E$5)^(CFROI!N$52-CFROI!$A68)</f>
        <v>0</v>
      </c>
      <c r="O68" s="81">
        <f>WORKSHEET!U$77/(1+WORKSHEET!$E$5)^(CFROI!O$52-CFROI!$A68)</f>
        <v>0</v>
      </c>
      <c r="P68" s="81">
        <f>WORKSHEET!V$77/(1+WORKSHEET!$E$5)^(CFROI!P$52-CFROI!$A68)</f>
        <v>0</v>
      </c>
      <c r="Q68" s="81">
        <f>WORKSHEET!W$77/(1+WORKSHEET!$E$5)^(CFROI!Q$52-CFROI!$A68)</f>
        <v>0</v>
      </c>
      <c r="R68" s="76">
        <f>WORKSHEET!X$77/(1+WORKSHEET!$E$5)^(CFROI!R$52-CFROI!$A68)</f>
        <v>0</v>
      </c>
    </row>
    <row r="69" spans="1:18" ht="12.75">
      <c r="A69" s="13">
        <f t="shared" si="4"/>
        <v>18</v>
      </c>
      <c r="B69" s="75">
        <f>WORKSHEET!H$77/(1+WORKSHEET!$E$5)^(CFROI!B$52-CFROI!$A69)</f>
        <v>1249.6774138956555</v>
      </c>
      <c r="C69" s="81">
        <f>WORKSHEET!I$77/(1+WORKSHEET!$E$5)^(CFROI!C$52-CFROI!$A69)</f>
        <v>1212.0360964991328</v>
      </c>
      <c r="D69" s="81">
        <f>WORKSHEET!J$77/(1+WORKSHEET!$E$5)^(CFROI!D$52-CFROI!$A69)</f>
        <v>1155.9180086916954</v>
      </c>
      <c r="E69" s="81">
        <f>WORKSHEET!K$77/(1+WORKSHEET!$E$5)^(CFROI!E$52-CFROI!$A69)</f>
        <v>1076.3590053853397</v>
      </c>
      <c r="F69" s="81">
        <f>WORKSHEET!L$77/(1+WORKSHEET!$E$5)^(CFROI!F$52-CFROI!$A69)</f>
        <v>547.5162676425235</v>
      </c>
      <c r="G69" s="81">
        <f>WORKSHEET!M$77/(1+WORKSHEET!$E$5)^(CFROI!G$52-CFROI!$A69)</f>
        <v>196.50813574923467</v>
      </c>
      <c r="H69" s="81">
        <f>WORKSHEET!N$77/(1+WORKSHEET!$E$5)^(CFROI!H$52-CFROI!$A69)</f>
        <v>0</v>
      </c>
      <c r="I69" s="81">
        <f>WORKSHEET!O$77/(1+WORKSHEET!$E$5)^(CFROI!I$52-CFROI!$A69)</f>
        <v>0</v>
      </c>
      <c r="J69" s="81">
        <f>WORKSHEET!P$77/(1+WORKSHEET!$E$5)^(CFROI!J$52-CFROI!$A69)</f>
        <v>0</v>
      </c>
      <c r="K69" s="81">
        <f>WORKSHEET!Q$77/(1+WORKSHEET!$E$5)^(CFROI!K$52-CFROI!$A69)</f>
        <v>0</v>
      </c>
      <c r="L69" s="81">
        <f>WORKSHEET!R$77/(1+WORKSHEET!$E$5)^(CFROI!L$52-CFROI!$A69)</f>
        <v>0</v>
      </c>
      <c r="M69" s="81">
        <f>WORKSHEET!S$77/(1+WORKSHEET!$E$5)^(CFROI!M$52-CFROI!$A69)</f>
        <v>0</v>
      </c>
      <c r="N69" s="81">
        <f>WORKSHEET!T$77/(1+WORKSHEET!$E$5)^(CFROI!N$52-CFROI!$A69)</f>
        <v>0</v>
      </c>
      <c r="O69" s="81">
        <f>WORKSHEET!U$77/(1+WORKSHEET!$E$5)^(CFROI!O$52-CFROI!$A69)</f>
        <v>0</v>
      </c>
      <c r="P69" s="81">
        <f>WORKSHEET!V$77/(1+WORKSHEET!$E$5)^(CFROI!P$52-CFROI!$A69)</f>
        <v>0</v>
      </c>
      <c r="Q69" s="81">
        <f>WORKSHEET!W$77/(1+WORKSHEET!$E$5)^(CFROI!Q$52-CFROI!$A69)</f>
        <v>0</v>
      </c>
      <c r="R69" s="76">
        <f>WORKSHEET!X$77/(1+WORKSHEET!$E$5)^(CFROI!R$52-CFROI!$A69)</f>
        <v>0</v>
      </c>
    </row>
    <row r="70" spans="1:18" ht="12.75">
      <c r="A70" s="13">
        <f t="shared" si="4"/>
        <v>19</v>
      </c>
      <c r="B70" s="75">
        <f>WORKSHEET!H$77/(1+WORKSHEET!$E$5)^(CFROI!B$52-CFROI!$A70)</f>
        <v>1374.645155285221</v>
      </c>
      <c r="C70" s="81">
        <f>WORKSHEET!I$77/(1+WORKSHEET!$E$5)^(CFROI!C$52-CFROI!$A70)</f>
        <v>1333.2397061490462</v>
      </c>
      <c r="D70" s="81">
        <f>WORKSHEET!J$77/(1+WORKSHEET!$E$5)^(CFROI!D$52-CFROI!$A70)</f>
        <v>1271.5098095608648</v>
      </c>
      <c r="E70" s="81">
        <f>WORKSHEET!K$77/(1+WORKSHEET!$E$5)^(CFROI!E$52-CFROI!$A70)</f>
        <v>1183.9949059238738</v>
      </c>
      <c r="F70" s="81">
        <f>WORKSHEET!L$77/(1+WORKSHEET!$E$5)^(CFROI!F$52-CFROI!$A70)</f>
        <v>602.267894406776</v>
      </c>
      <c r="G70" s="81">
        <f>WORKSHEET!M$77/(1+WORKSHEET!$E$5)^(CFROI!G$52-CFROI!$A70)</f>
        <v>216.15894932415813</v>
      </c>
      <c r="H70" s="81">
        <f>WORKSHEET!N$77/(1+WORKSHEET!$E$5)^(CFROI!H$52-CFROI!$A70)</f>
        <v>0</v>
      </c>
      <c r="I70" s="81">
        <f>WORKSHEET!O$77/(1+WORKSHEET!$E$5)^(CFROI!I$52-CFROI!$A70)</f>
        <v>0</v>
      </c>
      <c r="J70" s="81">
        <f>WORKSHEET!P$77/(1+WORKSHEET!$E$5)^(CFROI!J$52-CFROI!$A70)</f>
        <v>0</v>
      </c>
      <c r="K70" s="81">
        <f>WORKSHEET!Q$77/(1+WORKSHEET!$E$5)^(CFROI!K$52-CFROI!$A70)</f>
        <v>0</v>
      </c>
      <c r="L70" s="81">
        <f>WORKSHEET!R$77/(1+WORKSHEET!$E$5)^(CFROI!L$52-CFROI!$A70)</f>
        <v>0</v>
      </c>
      <c r="M70" s="81">
        <f>WORKSHEET!S$77/(1+WORKSHEET!$E$5)^(CFROI!M$52-CFROI!$A70)</f>
        <v>0</v>
      </c>
      <c r="N70" s="81">
        <f>WORKSHEET!T$77/(1+WORKSHEET!$E$5)^(CFROI!N$52-CFROI!$A70)</f>
        <v>0</v>
      </c>
      <c r="O70" s="81">
        <f>WORKSHEET!U$77/(1+WORKSHEET!$E$5)^(CFROI!O$52-CFROI!$A70)</f>
        <v>0</v>
      </c>
      <c r="P70" s="81">
        <f>WORKSHEET!V$77/(1+WORKSHEET!$E$5)^(CFROI!P$52-CFROI!$A70)</f>
        <v>0</v>
      </c>
      <c r="Q70" s="81">
        <f>WORKSHEET!W$77/(1+WORKSHEET!$E$5)^(CFROI!Q$52-CFROI!$A70)</f>
        <v>0</v>
      </c>
      <c r="R70" s="76">
        <f>WORKSHEET!X$77/(1+WORKSHEET!$E$5)^(CFROI!R$52-CFROI!$A70)</f>
        <v>0</v>
      </c>
    </row>
    <row r="71" spans="1:18" ht="13.5" thickBot="1">
      <c r="A71" s="13">
        <f t="shared" si="4"/>
        <v>20</v>
      </c>
      <c r="B71" s="82">
        <f>WORKSHEET!H$77/(1+WORKSHEET!$E$5)^(CFROI!B$52-CFROI!$A71)</f>
        <v>1512.1096708137432</v>
      </c>
      <c r="C71" s="83">
        <f>WORKSHEET!I$77/(1+WORKSHEET!$E$5)^(CFROI!C$52-CFROI!$A71)</f>
        <v>1466.563676763951</v>
      </c>
      <c r="D71" s="83">
        <f>WORKSHEET!J$77/(1+WORKSHEET!$E$5)^(CFROI!D$52-CFROI!$A71)</f>
        <v>1398.6607905169517</v>
      </c>
      <c r="E71" s="83">
        <f>WORKSHEET!K$77/(1+WORKSHEET!$E$5)^(CFROI!E$52-CFROI!$A71)</f>
        <v>1302.3943965162612</v>
      </c>
      <c r="F71" s="83">
        <f>WORKSHEET!L$77/(1+WORKSHEET!$E$5)^(CFROI!F$52-CFROI!$A71)</f>
        <v>662.4946838474535</v>
      </c>
      <c r="G71" s="83">
        <f>WORKSHEET!M$77/(1+WORKSHEET!$E$5)^(CFROI!G$52-CFROI!$A71)</f>
        <v>237.774844256574</v>
      </c>
      <c r="H71" s="83">
        <f>WORKSHEET!N$77/(1+WORKSHEET!$E$5)^(CFROI!H$52-CFROI!$A71)</f>
        <v>0</v>
      </c>
      <c r="I71" s="83">
        <f>WORKSHEET!O$77/(1+WORKSHEET!$E$5)^(CFROI!I$52-CFROI!$A71)</f>
        <v>0</v>
      </c>
      <c r="J71" s="83">
        <f>WORKSHEET!P$77/(1+WORKSHEET!$E$5)^(CFROI!J$52-CFROI!$A71)</f>
        <v>0</v>
      </c>
      <c r="K71" s="83">
        <f>WORKSHEET!Q$77/(1+WORKSHEET!$E$5)^(CFROI!K$52-CFROI!$A71)</f>
        <v>0</v>
      </c>
      <c r="L71" s="83">
        <f>WORKSHEET!R$77/(1+WORKSHEET!$E$5)^(CFROI!L$52-CFROI!$A71)</f>
        <v>0</v>
      </c>
      <c r="M71" s="83">
        <f>WORKSHEET!S$77/(1+WORKSHEET!$E$5)^(CFROI!M$52-CFROI!$A71)</f>
        <v>0</v>
      </c>
      <c r="N71" s="83">
        <f>WORKSHEET!T$77/(1+WORKSHEET!$E$5)^(CFROI!N$52-CFROI!$A71)</f>
        <v>0</v>
      </c>
      <c r="O71" s="83">
        <f>WORKSHEET!U$77/(1+WORKSHEET!$E$5)^(CFROI!O$52-CFROI!$A71)</f>
        <v>0</v>
      </c>
      <c r="P71" s="83">
        <f>WORKSHEET!V$77/(1+WORKSHEET!$E$5)^(CFROI!P$52-CFROI!$A71)</f>
        <v>0</v>
      </c>
      <c r="Q71" s="83">
        <f>WORKSHEET!W$77/(1+WORKSHEET!$E$5)^(CFROI!Q$52-CFROI!$A71)</f>
        <v>0</v>
      </c>
      <c r="R71" s="84">
        <f>WORKSHEET!X$77/(1+WORKSHEET!$E$5)^(CFROI!R$52-CFROI!$A71)</f>
        <v>0</v>
      </c>
    </row>
    <row r="72" ht="13.5" thickTop="1"/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Holt Value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HOLT Value</dc:creator>
  <cp:keywords/>
  <dc:description/>
  <cp:lastModifiedBy>James Gordon</cp:lastModifiedBy>
  <cp:lastPrinted>1997-04-21T21:45:10Z</cp:lastPrinted>
  <dcterms:created xsi:type="dcterms:W3CDTF">1996-09-23T16:41:58Z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