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tabRatio="940" activeTab="0"/>
  </bookViews>
  <sheets>
    <sheet name="Input" sheetId="1" r:id="rId1"/>
    <sheet name="Inc_St" sheetId="2" r:id="rId2"/>
    <sheet name="Bal_Sheet" sheetId="3" r:id="rId3"/>
    <sheet name="Cash_Flow" sheetId="4" r:id="rId4"/>
    <sheet name="Depr_Amort" sheetId="5" r:id="rId5"/>
    <sheet name="Income_Tax" sheetId="6" r:id="rId6"/>
    <sheet name="WACC" sheetId="7" r:id="rId7"/>
    <sheet name="DCF_Analysis" sheetId="8" r:id="rId8"/>
    <sheet name="IRR_Returns" sheetId="9" r:id="rId9"/>
    <sheet name="Ratios" sheetId="10" r:id="rId10"/>
  </sheets>
  <definedNames>
    <definedName name="acc_exp">'Input'!$N$32</definedName>
    <definedName name="acc_exp_ann_incr">'Input'!$N$33</definedName>
    <definedName name="acc_payable">'Input'!$N$30</definedName>
    <definedName name="acc_payable_ann_incr">'Input'!$N$31</definedName>
    <definedName name="acc_recv">'Input'!$N$19</definedName>
    <definedName name="acc_recv_ann_incr">'Input'!$N$20</definedName>
    <definedName name="assumed_debt_ann_repay">'Input'!$I$10</definedName>
    <definedName name="assumed_debt_avg_int">'Input'!$I$12</definedName>
    <definedName name="assumed_debt_cou_rate">'Input'!$I$11</definedName>
    <definedName name="assumed_debt_maturity_year">'Input'!$I$9</definedName>
    <definedName name="assumed_debt_prepay">'Input'!$I$13</definedName>
    <definedName name="bank_revolver_cou_rate">'Input'!$I$16</definedName>
    <definedName name="capex">'Input'!$N$36</definedName>
    <definedName name="capex_interval">'Input'!$N$38</definedName>
    <definedName name="capex_start_year">'Input'!$N$37</definedName>
    <definedName name="cash_min">'Input'!$N$43</definedName>
    <definedName name="cash_min_amt">'Input'!$N$42</definedName>
    <definedName name="cogs">'Input'!$N$11</definedName>
    <definedName name="cogs_ann_incr">'Input'!$N$12</definedName>
    <definedName name="discount_rate_range">'Input'!$N$51</definedName>
    <definedName name="ebitda_multiple">'Input'!$N$52</definedName>
    <definedName name="ebitda_multiple_range">'Input'!$N$53</definedName>
    <definedName name="exit_year">'IRR_Returns'!$B$4</definedName>
    <definedName name="goodwill_intang_deductible">'Depr_Amort'!$N$6</definedName>
    <definedName name="inventories">'Input'!$N$21</definedName>
    <definedName name="inventories_ann_incr">'Input'!$N$22</definedName>
    <definedName name="mezzdebt_avg_int">'Input'!$I$51</definedName>
    <definedName name="mezzdebt_cou_rate">'Input'!$I$50</definedName>
    <definedName name="mezzdebt_maturity_year">'Input'!$I$49</definedName>
    <definedName name="mezzdebt_prepay">'Input'!$I$53</definedName>
    <definedName name="mezzdebt_years_PIK">'Input'!$I$52</definedName>
    <definedName name="no_shares_outs">'Input'!$C$11</definedName>
    <definedName name="other_curr_assets">'Input'!$N$25</definedName>
    <definedName name="other_curr_assets_ann_incr">'Input'!$N$26</definedName>
    <definedName name="other_curr_liab">'Input'!$N$34</definedName>
    <definedName name="other_curr_liab_ann_incr">'Input'!$N$35</definedName>
    <definedName name="other_exp">'Input'!$N$15</definedName>
    <definedName name="other_exp_ann_incr">'Input'!$N$16</definedName>
    <definedName name="other_longterm_assets">'Input'!$N$27</definedName>
    <definedName name="other_longterm_assets_ann_incr">'Input'!$N$28</definedName>
    <definedName name="perpetuity_growth_range">'Input'!$N$55</definedName>
    <definedName name="perpetuity_growth_rate">'Input'!$N$54</definedName>
    <definedName name="pref_stock_div">'Input'!$I$64</definedName>
    <definedName name="pref_stock_retired_year">'Input'!$I$66</definedName>
    <definedName name="pref_stock_years_PIK">'Input'!$I$65</definedName>
    <definedName name="prepaids">'Input'!$N$23</definedName>
    <definedName name="prepaids_ann_incr">'Input'!$N$24</definedName>
    <definedName name="revolver_limit">'Input'!$I$17</definedName>
    <definedName name="sales_ann_incr">'Input'!$N$10</definedName>
    <definedName name="sales_yr1">'Input'!$N$9</definedName>
    <definedName name="seller_notes_ann_repay">'Input'!$I$57</definedName>
    <definedName name="seller_notes_avg_int">'Input'!$I$59</definedName>
    <definedName name="seller_notes_cou_rate">'Input'!$I$58</definedName>
    <definedName name="seller_notes_prepay">'Input'!$I$61</definedName>
    <definedName name="seller_notes_term_year">'Input'!$I$56</definedName>
    <definedName name="seller_notes_years_PIK">'Input'!$I$60</definedName>
    <definedName name="senior_notes_avg_int">'Input'!$I$38</definedName>
    <definedName name="senior_notes_cou_rate">'Input'!$I$37</definedName>
    <definedName name="senior_notes_mat_yr">'Input'!$I$36</definedName>
    <definedName name="senior_notes_prepay">'Input'!$I$39</definedName>
    <definedName name="sga_exp">'Input'!$N$13</definedName>
    <definedName name="sga_exp_ann_incr">'Input'!$N$14</definedName>
    <definedName name="sub_notes_avg_int">'Input'!$I$44</definedName>
    <definedName name="sub_notes_cou_rate">'Input'!$I$43</definedName>
    <definedName name="sub_notes_mat_yr">'Input'!$I$42</definedName>
    <definedName name="sub_notes_prepay">'Input'!$I$46</definedName>
    <definedName name="sub_notes_years_PIK">'Input'!$I$45</definedName>
    <definedName name="tax_rate">'Input'!$N$45</definedName>
    <definedName name="termloanA_ann_repay">'Input'!$I$22</definedName>
    <definedName name="termloanA_avg_int">'Input'!$I$24</definedName>
    <definedName name="termloanA_cou_rate">'Input'!$I$23</definedName>
    <definedName name="termloanA_prepay">'Input'!$I$25</definedName>
    <definedName name="termloanA_term_years">'Input'!$I$21</definedName>
    <definedName name="termloanB_ann_repay">'Input'!$I$29</definedName>
    <definedName name="termloanB_avg_int">'Input'!$I$32</definedName>
    <definedName name="termloanB_bulletyr_repayment">'Input'!$I$30</definedName>
    <definedName name="termloanB_cou_rate">'Input'!$I$31</definedName>
    <definedName name="termloanB_prepay">'Input'!$I$33</definedName>
    <definedName name="termloanB_term_years">'Input'!$I$28</definedName>
    <definedName name="undrawn_commit_fee">'Input'!$I$18</definedName>
    <definedName name="WACC">'Input'!$N$50</definedName>
    <definedName name="year1">'Input'!$N$46</definedName>
  </definedNames>
  <calcPr calcMode="autoNoTable" fullCalcOnLoad="1" iterate="1" iterateCount="100" iterateDelta="0.001"/>
</workbook>
</file>

<file path=xl/comments1.xml><?xml version="1.0" encoding="utf-8"?>
<comments xmlns="http://schemas.openxmlformats.org/spreadsheetml/2006/main">
  <authors>
    <author>Amit Tandon</author>
  </authors>
  <commentList>
    <comment ref="B28" authorId="0">
      <text>
        <r>
          <rPr>
            <b/>
            <sz val="8"/>
            <rFont val="Tahoma"/>
            <family val="2"/>
          </rPr>
          <t>Amit Tandon:</t>
        </r>
        <r>
          <rPr>
            <sz val="8"/>
            <rFont val="Tahoma"/>
            <family val="2"/>
          </rPr>
          <t xml:space="preserve">
Bank debt, typically amortized evenly over specified no. of years.
</t>
        </r>
      </text>
    </comment>
    <comment ref="B30" authorId="0">
      <text>
        <r>
          <rPr>
            <b/>
            <sz val="8"/>
            <rFont val="Tahoma"/>
            <family val="2"/>
          </rPr>
          <t>Amit Tandon:</t>
        </r>
        <r>
          <rPr>
            <sz val="8"/>
            <rFont val="Tahoma"/>
            <family val="2"/>
          </rPr>
          <t xml:space="preserve">
Carries a bullet repayment with no amortization. Categorized as Senior Debt.</t>
        </r>
      </text>
    </comment>
    <comment ref="M43" authorId="0">
      <text>
        <r>
          <rPr>
            <b/>
            <sz val="8"/>
            <rFont val="Tahoma"/>
            <family val="2"/>
          </rPr>
          <t>Amit Tandon:</t>
        </r>
        <r>
          <rPr>
            <sz val="8"/>
            <rFont val="Tahoma"/>
            <family val="2"/>
          </rPr>
          <t xml:space="preserve">
To maintain Cash Minimum, select 1. This will adjust excess cash with Revolver Loan. To not use this feature, select 0.</t>
        </r>
      </text>
    </comment>
    <comment ref="M38" authorId="0">
      <text>
        <r>
          <rPr>
            <b/>
            <sz val="8"/>
            <rFont val="Tahoma"/>
            <family val="2"/>
          </rPr>
          <t>Amit Tandon:</t>
        </r>
        <r>
          <rPr>
            <sz val="8"/>
            <rFont val="Tahoma"/>
            <family val="2"/>
          </rPr>
          <t xml:space="preserve">
Select 1 for Annual Exp, 2 for Bi-Annual Exp, and so on.
</t>
        </r>
      </text>
    </comment>
    <comment ref="B29" authorId="0">
      <text>
        <r>
          <rPr>
            <b/>
            <sz val="8"/>
            <rFont val="Tahoma"/>
            <family val="2"/>
          </rPr>
          <t>Amit Tandon:</t>
        </r>
        <r>
          <rPr>
            <sz val="8"/>
            <rFont val="Tahoma"/>
            <family val="2"/>
          </rPr>
          <t xml:space="preserve">
Bank debt (Term Loan B), usually involves nominal amortization (repayment) overspecified no. of years, with a large bullet payment in the last year.</t>
        </r>
      </text>
    </comment>
    <comment ref="B31" authorId="0">
      <text>
        <r>
          <rPr>
            <b/>
            <sz val="8"/>
            <rFont val="Tahoma"/>
            <family val="2"/>
          </rPr>
          <t>Amit Tandon:</t>
        </r>
        <r>
          <rPr>
            <sz val="8"/>
            <rFont val="Tahoma"/>
            <family val="2"/>
          </rPr>
          <t xml:space="preserve">
Carries a bullet repayment with no amortization. 
This is high-yield debt and the interest may be either cash-pay, payment-in-kind ("PIK"), or a combination of both. It may be structured so that the PIK option is available for the first few years of the debt's life, after which cash-pay becomes mandatory.
</t>
        </r>
      </text>
    </comment>
    <comment ref="B53" authorId="0">
      <text>
        <r>
          <rPr>
            <b/>
            <sz val="8"/>
            <rFont val="Tahoma"/>
            <family val="2"/>
          </rPr>
          <t>Amit Tandon:</t>
        </r>
        <r>
          <rPr>
            <sz val="8"/>
            <rFont val="Tahoma"/>
            <family val="2"/>
          </rPr>
          <t xml:space="preserve">
Excess paid on acquisition is "Goodwill" which is amortized over a specific no. of years and immediately recognize "Gain from Bargain Purchase" in earnings (included in Retained Earnings) as a gain in accordance with FAS 141r.
FAS 141(R) amended FAS 109 to require a deferred tax asset to be recorded for the excess of tax deductible goodwill over book goodwill as of the acquisition date. </t>
        </r>
      </text>
    </comment>
    <comment ref="H15" authorId="0">
      <text>
        <r>
          <rPr>
            <b/>
            <sz val="8"/>
            <rFont val="Tahoma"/>
            <family val="2"/>
          </rPr>
          <t>Amit Tandon:</t>
        </r>
        <r>
          <rPr>
            <sz val="8"/>
            <rFont val="Tahoma"/>
            <family val="2"/>
          </rPr>
          <t xml:space="preserve">
Balance adjustable every year subject to Cash Balance and Cash Minimum.</t>
        </r>
      </text>
    </comment>
    <comment ref="B27" authorId="0">
      <text>
        <r>
          <rPr>
            <b/>
            <sz val="8"/>
            <rFont val="Tahoma"/>
            <family val="2"/>
          </rPr>
          <t>Amit Tandon:</t>
        </r>
        <r>
          <rPr>
            <sz val="8"/>
            <rFont val="Tahoma"/>
            <family val="2"/>
          </rPr>
          <t xml:space="preserve">
A revolver is a form of senior bank debt that acts like a credit card for companies and is generally used to help fund a company's working capital needs.</t>
        </r>
      </text>
    </comment>
    <comment ref="B20" authorId="0">
      <text>
        <r>
          <rPr>
            <b/>
            <sz val="8"/>
            <rFont val="Tahoma"/>
            <family val="2"/>
          </rPr>
          <t>Amit Tandon:</t>
        </r>
        <r>
          <rPr>
            <sz val="8"/>
            <rFont val="Tahoma"/>
            <family val="2"/>
          </rPr>
          <t xml:space="preserve">
To reconcile with "Sources of Funds".</t>
        </r>
      </text>
    </comment>
    <comment ref="H66" authorId="0">
      <text>
        <r>
          <rPr>
            <b/>
            <sz val="8"/>
            <rFont val="Tahoma"/>
            <family val="2"/>
          </rPr>
          <t>Amit Tandon:</t>
        </r>
        <r>
          <rPr>
            <sz val="8"/>
            <rFont val="Tahoma"/>
            <family val="2"/>
          </rPr>
          <t xml:space="preserve">
Leave Blank in case not repaid.</t>
        </r>
      </text>
    </comment>
    <comment ref="A2" authorId="0">
      <text>
        <r>
          <rPr>
            <b/>
            <sz val="8"/>
            <rFont val="Tahoma"/>
            <family val="2"/>
          </rPr>
          <t>Amit Tandon:</t>
        </r>
        <r>
          <rPr>
            <sz val="8"/>
            <rFont val="Tahoma"/>
            <family val="2"/>
          </rPr>
          <t xml:space="preserve">
A leveraged buyout (LBO) is an acquisition of a company or a segment of a company funded mostly with debt. A financial buyer (e.g. private equity fund) invests a small amount of equity (relative to the total purchase price) and uses leverage (debt or other non-equity sources of financing) to fund the remainder of the consideration paid to the seller.</t>
        </r>
      </text>
    </comment>
    <comment ref="B23" authorId="0">
      <text>
        <r>
          <rPr>
            <b/>
            <sz val="8"/>
            <rFont val="Tahoma"/>
            <family val="2"/>
          </rPr>
          <t>Amit Tandon:</t>
        </r>
        <r>
          <rPr>
            <sz val="8"/>
            <rFont val="Tahoma"/>
            <family val="2"/>
          </rPr>
          <t xml:space="preserve">
In a leveraged buyout (LBO), the target company's existing debt is usually refinanced (although it can be rolled over) and replaced with new debt to finance the transaction. Multiple tranches of debt are commonly used to finance LBOs.</t>
        </r>
      </text>
    </comment>
    <comment ref="C27" authorId="0">
      <text>
        <r>
          <rPr>
            <b/>
            <sz val="8"/>
            <rFont val="Tahoma"/>
            <family val="2"/>
          </rPr>
          <t>Amit Tandon:</t>
        </r>
        <r>
          <rPr>
            <sz val="8"/>
            <rFont val="Tahoma"/>
            <family val="2"/>
          </rPr>
          <t xml:space="preserve">
Balance of Total Funds Requirement less Sources of Funds (exc.l revolver).</t>
        </r>
      </text>
    </comment>
    <comment ref="B32" authorId="0">
      <text>
        <r>
          <rPr>
            <b/>
            <sz val="8"/>
            <rFont val="Tahoma"/>
            <family val="2"/>
          </rPr>
          <t>Amit Tandon:</t>
        </r>
        <r>
          <rPr>
            <sz val="8"/>
            <rFont val="Tahoma"/>
            <family val="2"/>
          </rPr>
          <t xml:space="preserve">
Carries bullet repayments with no amortization.
This is high-yield debt and the interest may be either cash-pay, payment-in-kind ("PIK"), or a combination of both. It may be structured so that the PIK option is available for the first few years of the debt's life, after which cash-pay becomes mandatory.</t>
        </r>
      </text>
    </comment>
    <comment ref="B33" authorId="0">
      <text>
        <r>
          <rPr>
            <b/>
            <sz val="8"/>
            <rFont val="Tahoma"/>
            <family val="2"/>
          </rPr>
          <t>Amit Tandon:</t>
        </r>
        <r>
          <rPr>
            <sz val="8"/>
            <rFont val="Tahoma"/>
            <family val="2"/>
          </rPr>
          <t xml:space="preserve">
Amortize over fixed period of time.</t>
        </r>
      </text>
    </comment>
    <comment ref="M36" authorId="0">
      <text>
        <r>
          <rPr>
            <b/>
            <sz val="8"/>
            <rFont val="Tahoma"/>
            <family val="2"/>
          </rPr>
          <t>Amit Tandon:</t>
        </r>
        <r>
          <rPr>
            <sz val="8"/>
            <rFont val="Tahoma"/>
            <family val="2"/>
          </rPr>
          <t xml:space="preserve">
%age of revenue.</t>
        </r>
      </text>
    </comment>
    <comment ref="B16" authorId="0">
      <text>
        <r>
          <rPr>
            <b/>
            <sz val="8"/>
            <rFont val="Tahoma"/>
            <family val="2"/>
          </rPr>
          <t>Amit Tandon:</t>
        </r>
        <r>
          <rPr>
            <sz val="8"/>
            <rFont val="Tahoma"/>
            <family val="2"/>
          </rPr>
          <t xml:space="preserve">
Expensed as incurred (in current period) in accordance with FAS 141r.</t>
        </r>
      </text>
    </comment>
    <comment ref="B17" authorId="0">
      <text>
        <r>
          <rPr>
            <b/>
            <sz val="8"/>
            <rFont val="Tahoma"/>
            <family val="2"/>
          </rPr>
          <t>Amit Tandon:</t>
        </r>
        <r>
          <rPr>
            <sz val="8"/>
            <rFont val="Tahoma"/>
            <family val="2"/>
          </rPr>
          <t xml:space="preserve">
Costs to issue debt and equity securities are excluded from Expensed Transaction Costs (per FAS 141r) and are to be accounted for under other applicable GAAP. </t>
        </r>
      </text>
    </comment>
    <comment ref="C16" authorId="0">
      <text>
        <r>
          <rPr>
            <b/>
            <sz val="8"/>
            <rFont val="Tahoma"/>
            <family val="2"/>
          </rPr>
          <t>Amit Tandon:</t>
        </r>
        <r>
          <rPr>
            <sz val="8"/>
            <rFont val="Tahoma"/>
            <family val="2"/>
          </rPr>
          <t xml:space="preserve">
Includes investment banking, legal, accounting &amp; other expenses related to the transaction/ acquisition, with the exception of debt and equity issuance costs.
</t>
        </r>
      </text>
    </comment>
    <comment ref="C17" authorId="0">
      <text>
        <r>
          <rPr>
            <b/>
            <sz val="8"/>
            <rFont val="Tahoma"/>
            <family val="2"/>
          </rPr>
          <t>Amit Tandon:</t>
        </r>
        <r>
          <rPr>
            <sz val="8"/>
            <rFont val="Tahoma"/>
            <family val="2"/>
          </rPr>
          <t xml:space="preserve">
Costs to issue debt and equity securities are excluded from Expensed Transaction Costs (per FAS 141r) and are to be accounted for under other applicable GAAP. 
Debt issuance fees, is to be capitalized (and amortized over the term of the debt) and Equity issuance fees to be netted against proceeds from the offering. </t>
        </r>
      </text>
    </comment>
    <comment ref="H30" authorId="0">
      <text>
        <r>
          <rPr>
            <b/>
            <sz val="8"/>
            <rFont val="Tahoma"/>
            <family val="2"/>
          </rPr>
          <t>Amit Tandon:</t>
        </r>
        <r>
          <rPr>
            <sz val="8"/>
            <rFont val="Tahoma"/>
            <family val="2"/>
          </rPr>
          <t xml:space="preserve">
Bank debt (Term Loan B), usually involves nominal amortization (repayment) overspecified no. of years, with a large bullet payment in the last year.</t>
        </r>
      </text>
    </comment>
    <comment ref="H13" authorId="0">
      <text>
        <r>
          <rPr>
            <b/>
            <sz val="8"/>
            <rFont val="Tahoma"/>
            <family val="2"/>
          </rPr>
          <t>Amit Tandon:</t>
        </r>
        <r>
          <rPr>
            <sz val="8"/>
            <rFont val="Tahoma"/>
            <family val="2"/>
          </rPr>
          <t xml:space="preserve">
Optional repayment option, subject to excess cash.</t>
        </r>
      </text>
    </comment>
    <comment ref="H25" authorId="0">
      <text>
        <r>
          <rPr>
            <b/>
            <sz val="8"/>
            <rFont val="Tahoma"/>
            <family val="2"/>
          </rPr>
          <t>Amit Tandon:</t>
        </r>
        <r>
          <rPr>
            <sz val="8"/>
            <rFont val="Tahoma"/>
            <family val="2"/>
          </rPr>
          <t xml:space="preserve">
Optional repayment option, subject to excess cash.</t>
        </r>
      </text>
    </comment>
    <comment ref="H33" authorId="0">
      <text>
        <r>
          <rPr>
            <b/>
            <sz val="8"/>
            <rFont val="Tahoma"/>
            <family val="2"/>
          </rPr>
          <t>Amit Tandon:</t>
        </r>
        <r>
          <rPr>
            <sz val="8"/>
            <rFont val="Tahoma"/>
            <family val="2"/>
          </rPr>
          <t xml:space="preserve">
Optional repayment option, subject to excess cash.</t>
        </r>
      </text>
    </comment>
    <comment ref="H39" authorId="0">
      <text>
        <r>
          <rPr>
            <b/>
            <sz val="8"/>
            <rFont val="Tahoma"/>
            <family val="2"/>
          </rPr>
          <t>Amit Tandon:</t>
        </r>
        <r>
          <rPr>
            <sz val="8"/>
            <rFont val="Tahoma"/>
            <family val="2"/>
          </rPr>
          <t xml:space="preserve">
Optional repayment option, subject to excess cash.</t>
        </r>
      </text>
    </comment>
    <comment ref="H46" authorId="0">
      <text>
        <r>
          <rPr>
            <b/>
            <sz val="8"/>
            <rFont val="Tahoma"/>
            <family val="2"/>
          </rPr>
          <t>Amit Tandon:</t>
        </r>
        <r>
          <rPr>
            <sz val="8"/>
            <rFont val="Tahoma"/>
            <family val="2"/>
          </rPr>
          <t xml:space="preserve">
Optional repayment option, subject to excess cash.</t>
        </r>
      </text>
    </comment>
    <comment ref="H53" authorId="0">
      <text>
        <r>
          <rPr>
            <b/>
            <sz val="8"/>
            <rFont val="Tahoma"/>
            <family val="2"/>
          </rPr>
          <t>Amit Tandon:</t>
        </r>
        <r>
          <rPr>
            <sz val="8"/>
            <rFont val="Tahoma"/>
            <family val="2"/>
          </rPr>
          <t xml:space="preserve">
Optional repayment option, subject to excess cash.</t>
        </r>
      </text>
    </comment>
    <comment ref="H61" authorId="0">
      <text>
        <r>
          <rPr>
            <b/>
            <sz val="8"/>
            <rFont val="Tahoma"/>
            <family val="2"/>
          </rPr>
          <t>Amit Tandon:</t>
        </r>
        <r>
          <rPr>
            <sz val="8"/>
            <rFont val="Tahoma"/>
            <family val="2"/>
          </rPr>
          <t xml:space="preserve">
Optional repayment option, subject to excess cash.</t>
        </r>
      </text>
    </comment>
    <comment ref="I13" authorId="0">
      <text>
        <r>
          <rPr>
            <b/>
            <sz val="8"/>
            <rFont val="Tahoma"/>
            <family val="2"/>
          </rPr>
          <t>Amit Tandon:</t>
        </r>
        <r>
          <rPr>
            <sz val="8"/>
            <rFont val="Tahoma"/>
            <family val="2"/>
          </rPr>
          <t xml:space="preserve">
Leaving this field Blank will mean "No".</t>
        </r>
      </text>
    </comment>
    <comment ref="B43" authorId="0">
      <text>
        <r>
          <rPr>
            <b/>
            <sz val="8"/>
            <rFont val="Tahoma"/>
            <family val="2"/>
          </rPr>
          <t>Amit Tandon:</t>
        </r>
        <r>
          <rPr>
            <sz val="8"/>
            <rFont val="Tahoma"/>
            <family val="2"/>
          </rPr>
          <t xml:space="preserve">
Purchase price - Fair value of net assets acquired = Goodwill
</t>
        </r>
      </text>
    </comment>
    <comment ref="B26" authorId="0">
      <text>
        <r>
          <rPr>
            <b/>
            <sz val="8"/>
            <rFont val="Tahoma"/>
            <family val="2"/>
          </rPr>
          <t>Amit Tandon:</t>
        </r>
        <r>
          <rPr>
            <sz val="8"/>
            <rFont val="Tahoma"/>
            <family val="2"/>
          </rPr>
          <t xml:space="preserve">
Amortized evenly over specified no. of years.</t>
        </r>
      </text>
    </comment>
    <comment ref="I25" authorId="0">
      <text>
        <r>
          <rPr>
            <b/>
            <sz val="8"/>
            <rFont val="Tahoma"/>
            <family val="2"/>
          </rPr>
          <t>Amit Tandon:</t>
        </r>
        <r>
          <rPr>
            <sz val="8"/>
            <rFont val="Tahoma"/>
            <family val="2"/>
          </rPr>
          <t xml:space="preserve">
Leaving this field Blank will mean "No".</t>
        </r>
      </text>
    </comment>
    <comment ref="I33" authorId="0">
      <text>
        <r>
          <rPr>
            <b/>
            <sz val="8"/>
            <rFont val="Tahoma"/>
            <family val="2"/>
          </rPr>
          <t>Amit Tandon:</t>
        </r>
        <r>
          <rPr>
            <sz val="8"/>
            <rFont val="Tahoma"/>
            <family val="2"/>
          </rPr>
          <t xml:space="preserve">
Leaving this field Blank will mean "No".</t>
        </r>
      </text>
    </comment>
    <comment ref="I39" authorId="0">
      <text>
        <r>
          <rPr>
            <b/>
            <sz val="8"/>
            <rFont val="Tahoma"/>
            <family val="2"/>
          </rPr>
          <t>Amit Tandon:</t>
        </r>
        <r>
          <rPr>
            <sz val="8"/>
            <rFont val="Tahoma"/>
            <family val="2"/>
          </rPr>
          <t xml:space="preserve">
Leaving this field Blank will mean "No".</t>
        </r>
      </text>
    </comment>
    <comment ref="I46" authorId="0">
      <text>
        <r>
          <rPr>
            <b/>
            <sz val="8"/>
            <rFont val="Tahoma"/>
            <family val="2"/>
          </rPr>
          <t>Amit Tandon:</t>
        </r>
        <r>
          <rPr>
            <sz val="8"/>
            <rFont val="Tahoma"/>
            <family val="2"/>
          </rPr>
          <t xml:space="preserve">
Leaving this field Blank will mean "No".</t>
        </r>
      </text>
    </comment>
    <comment ref="I53" authorId="0">
      <text>
        <r>
          <rPr>
            <b/>
            <sz val="8"/>
            <rFont val="Tahoma"/>
            <family val="2"/>
          </rPr>
          <t>Amit Tandon:</t>
        </r>
        <r>
          <rPr>
            <sz val="8"/>
            <rFont val="Tahoma"/>
            <family val="2"/>
          </rPr>
          <t xml:space="preserve">
Leaving this field Blank will mean "No".</t>
        </r>
      </text>
    </comment>
    <comment ref="I61" authorId="0">
      <text>
        <r>
          <rPr>
            <b/>
            <sz val="8"/>
            <rFont val="Tahoma"/>
            <family val="2"/>
          </rPr>
          <t>Amit Tandon:</t>
        </r>
        <r>
          <rPr>
            <sz val="8"/>
            <rFont val="Tahoma"/>
            <family val="2"/>
          </rPr>
          <t xml:space="preserve">
Leaving this field Blank will mean "No".</t>
        </r>
      </text>
    </comment>
    <comment ref="R25" authorId="0">
      <text>
        <r>
          <rPr>
            <b/>
            <sz val="8"/>
            <rFont val="Tahoma"/>
            <family val="2"/>
          </rPr>
          <t>Amit Tandon:</t>
        </r>
        <r>
          <rPr>
            <sz val="8"/>
            <rFont val="Tahoma"/>
            <family val="2"/>
          </rPr>
          <t xml:space="preserve">
Amortized over the term of the debt, as per FAS 141r.</t>
        </r>
      </text>
    </comment>
    <comment ref="R27" authorId="0">
      <text>
        <r>
          <rPr>
            <b/>
            <sz val="8"/>
            <rFont val="Tahoma"/>
            <family val="2"/>
          </rPr>
          <t>Amit Tandon:</t>
        </r>
        <r>
          <rPr>
            <sz val="8"/>
            <rFont val="Tahoma"/>
            <family val="2"/>
          </rPr>
          <t xml:space="preserve">
Bank Revolver not having a maturity date, this can be spread over the revolver validity period ... presently we have taken the projected no. of years ie. 10.</t>
        </r>
      </text>
    </comment>
    <comment ref="E35" authorId="0">
      <text>
        <r>
          <rPr>
            <b/>
            <sz val="8"/>
            <rFont val="Tahoma"/>
            <family val="2"/>
          </rPr>
          <t>Amit Tandon:</t>
        </r>
        <r>
          <rPr>
            <sz val="8"/>
            <rFont val="Tahoma"/>
            <family val="2"/>
          </rPr>
          <t xml:space="preserve">
Equity issuance fees to be netted against proceeds from the offering. 
Issue Costs of Preferred Stock need to be adjusted against APIC (Additional Paid In Capital), which also includes any premium charged over par value. Preferred Dividend will be payable on par value of stock.
NOT being accounted for in this model presently.</t>
        </r>
      </text>
    </comment>
    <comment ref="B49" authorId="0">
      <text>
        <r>
          <rPr>
            <b/>
            <sz val="8"/>
            <rFont val="Tahoma"/>
            <family val="2"/>
          </rPr>
          <t>Amit Tandon:</t>
        </r>
        <r>
          <rPr>
            <sz val="8"/>
            <rFont val="Tahoma"/>
            <family val="2"/>
          </rPr>
          <t xml:space="preserve">
Both Fixed Assets and Intangibles. Exceptions: the following are not measured at fair value:
1. Assets and liabilities arising from contingencies
2. Income taxes
3. Employee benefits
4. Indemnification assets
5. Reacquired rights
6. Share-based payment awards
7. Assets held for sale
Each of the above are to measured in accordance with the guidance of the Statements that they currently fall under. (I.e. Share-based payment awards follow the guidance in FAS123R)
</t>
        </r>
      </text>
    </comment>
    <comment ref="Q35" authorId="0">
      <text>
        <r>
          <rPr>
            <b/>
            <sz val="8"/>
            <rFont val="Tahoma"/>
            <family val="2"/>
          </rPr>
          <t>Amit Tandon:</t>
        </r>
        <r>
          <rPr>
            <sz val="8"/>
            <rFont val="Tahoma"/>
            <family val="2"/>
          </rPr>
          <t xml:space="preserve">
Equity issuance fees to be netted against proceeds from the offering. 
Issue Costs of Preferred Stock need to be adjusted against APIC (Additional Paid In Capital), which also includes any premium charged over par value. Preferred Dividend will be payable on par value of stock.
Not being accounted for in this model presently.</t>
        </r>
      </text>
    </comment>
    <comment ref="Q34" authorId="0">
      <text>
        <r>
          <rPr>
            <b/>
            <sz val="8"/>
            <rFont val="Tahoma"/>
            <family val="2"/>
          </rPr>
          <t>Amit Tandon:</t>
        </r>
        <r>
          <rPr>
            <sz val="8"/>
            <rFont val="Tahoma"/>
            <family val="2"/>
          </rPr>
          <t xml:space="preserve">
Debt issuance fees, to be capitalized and amortized over the term of the debt.
</t>
        </r>
      </text>
    </comment>
    <comment ref="B50" authorId="0">
      <text>
        <r>
          <rPr>
            <b/>
            <sz val="8"/>
            <rFont val="Tahoma"/>
            <family val="2"/>
          </rPr>
          <t>Amit Tandon:</t>
        </r>
        <r>
          <rPr>
            <sz val="8"/>
            <rFont val="Tahoma"/>
            <family val="2"/>
          </rPr>
          <t xml:space="preserve">
Acquired intangible assets may represent indefinite-lived assets (e.g., certain trademarks or brands), determinable-lived intangibles (e.g., certain trademarks or brands, customer relationships, patents and technologies) or residual goodwill. Of these, only the costs of determinable-lived intangibles are amortized to expense over their estimated life. The value of indefinite-lived intangible assets and residual goodwill is not amortized, but is tested at least annually for impairment. </t>
        </r>
      </text>
    </comment>
    <comment ref="B46" authorId="0">
      <text>
        <r>
          <rPr>
            <b/>
            <sz val="8"/>
            <rFont val="Tahoma"/>
            <family val="2"/>
          </rPr>
          <t>Amit Tandon:</t>
        </r>
        <r>
          <rPr>
            <sz val="8"/>
            <rFont val="Tahoma"/>
            <family val="2"/>
          </rPr>
          <t xml:space="preserve">
Any goodwill or deferred tax items existing on the target's balance sheet at the time of acquisition are written off.</t>
        </r>
      </text>
    </comment>
    <comment ref="B51" authorId="0">
      <text>
        <r>
          <rPr>
            <b/>
            <sz val="8"/>
            <rFont val="Tahoma"/>
            <family val="2"/>
          </rPr>
          <t>Amit Tandon:</t>
        </r>
        <r>
          <rPr>
            <sz val="8"/>
            <rFont val="Tahoma"/>
            <family val="2"/>
          </rPr>
          <t xml:space="preserve">
Any goodwill or deferred tax items existing on the target's balance sheet at the time of acquisition are written off.</t>
        </r>
      </text>
    </comment>
    <comment ref="E25" authorId="0">
      <text>
        <r>
          <rPr>
            <b/>
            <sz val="8"/>
            <rFont val="Tahoma"/>
            <family val="2"/>
          </rPr>
          <t>Amit Tandon:</t>
        </r>
        <r>
          <rPr>
            <sz val="8"/>
            <rFont val="Tahoma"/>
            <family val="2"/>
          </rPr>
          <t xml:space="preserve">
Issue Costs.</t>
        </r>
      </text>
    </comment>
    <comment ref="N56" authorId="0">
      <text>
        <r>
          <rPr>
            <b/>
            <sz val="8"/>
            <rFont val="Tahoma"/>
            <family val="2"/>
          </rPr>
          <t>Amit Tandon:</t>
        </r>
        <r>
          <rPr>
            <sz val="8"/>
            <rFont val="Tahoma"/>
            <family val="2"/>
          </rPr>
          <t xml:space="preserve">
Debt + Preferred Stock - Cash.
Total Enterprise Value is equal to: company's market capitalization + preferred stock + debt - cash and cash equivalents. 
"Preferred Stock Redeemable" is treated as above. In case of "Preferred Stock Convertible", the portion/option which is converted to (ie. upon conversion to) Common Stock will be treated as Common Stock and  the balance amount as Debt, as above.</t>
        </r>
      </text>
    </comment>
  </commentList>
</comments>
</file>

<file path=xl/comments10.xml><?xml version="1.0" encoding="utf-8"?>
<comments xmlns="http://schemas.openxmlformats.org/spreadsheetml/2006/main">
  <authors>
    <author>Amit Tandon</author>
  </authors>
  <commentList>
    <comment ref="A39" authorId="0">
      <text>
        <r>
          <rPr>
            <b/>
            <sz val="8"/>
            <rFont val="Tahoma"/>
            <family val="2"/>
          </rPr>
          <t>Amit Tandon:</t>
        </r>
        <r>
          <rPr>
            <sz val="8"/>
            <rFont val="Tahoma"/>
            <family val="2"/>
          </rPr>
          <t xml:space="preserve">
This measures the number of times inventory is turned over. It is useful in determining whether a firm is carrying excess stock in inventory.</t>
        </r>
      </text>
    </comment>
    <comment ref="A42" authorId="0">
      <text>
        <r>
          <rPr>
            <b/>
            <sz val="8"/>
            <rFont val="Tahoma"/>
            <family val="2"/>
          </rPr>
          <t>Amit Tandon:</t>
        </r>
        <r>
          <rPr>
            <sz val="8"/>
            <rFont val="Tahoma"/>
            <family val="2"/>
          </rPr>
          <t xml:space="preserve">
The number of days worth of inventory on hand.</t>
        </r>
      </text>
    </comment>
    <comment ref="A40" authorId="0">
      <text>
        <r>
          <rPr>
            <b/>
            <sz val="8"/>
            <rFont val="Tahoma"/>
            <family val="2"/>
          </rPr>
          <t>Amit Tandon:</t>
        </r>
        <r>
          <rPr>
            <sz val="8"/>
            <rFont val="Tahoma"/>
            <family val="2"/>
          </rPr>
          <t xml:space="preserve">
Indication of how quickly the company collects its accounts receivable. Arrived at by dividing "Annual Credit Sales" by Accounts Receivable.</t>
        </r>
      </text>
    </comment>
    <comment ref="A43" authorId="0">
      <text>
        <r>
          <rPr>
            <b/>
            <sz val="8"/>
            <rFont val="Tahoma"/>
            <family val="2"/>
          </rPr>
          <t>Amit Tandon:</t>
        </r>
        <r>
          <rPr>
            <sz val="8"/>
            <rFont val="Tahoma"/>
            <family val="2"/>
          </rPr>
          <t xml:space="preserve">
Also known as "Average Collection Period". This is the number of days that credit sales remain in accounts receivable before they are collected.</t>
        </r>
      </text>
    </comment>
    <comment ref="A48" authorId="0">
      <text>
        <r>
          <rPr>
            <b/>
            <sz val="8"/>
            <rFont val="Tahoma"/>
            <family val="2"/>
          </rPr>
          <t>Amit Tandon:</t>
        </r>
        <r>
          <rPr>
            <sz val="8"/>
            <rFont val="Tahoma"/>
            <family val="2"/>
          </rPr>
          <t xml:space="preserve">
A generally acceptable current ratio is 2 to 1. But whether or not a specific ratio is satisfactory depends on the nature of the business and the characteristics of its current assets and liabilities. The minimum acceptable current ratio is obviously 1:1, but that relationship is usually playing it too close for comfort.
</t>
        </r>
      </text>
    </comment>
    <comment ref="A49" authorId="0">
      <text>
        <r>
          <rPr>
            <b/>
            <sz val="8"/>
            <rFont val="Tahoma"/>
            <family val="2"/>
          </rPr>
          <t>Amit Tandon:</t>
        </r>
        <r>
          <rPr>
            <sz val="8"/>
            <rFont val="Tahoma"/>
            <family val="2"/>
          </rPr>
          <t xml:space="preserve">
An acid-test of 1:1 is considered satisfactory unless the majority of your "quick assets" are in accounts receivable, and the pattern of accounts receivable collection lags behind the schedule for paying current liabilities.
</t>
        </r>
      </text>
    </comment>
    <comment ref="A9" authorId="0">
      <text>
        <r>
          <rPr>
            <b/>
            <sz val="8"/>
            <rFont val="Tahoma"/>
            <family val="2"/>
          </rPr>
          <t>Amit Tandon:</t>
        </r>
        <r>
          <rPr>
            <sz val="8"/>
            <rFont val="Tahoma"/>
            <family val="2"/>
          </rPr>
          <t xml:space="preserve">
Debt Ratio = Total Debt / Total Assets. Total debt is the sum of a company's current liabilities and long-term liabilities, and total assets are the sum of fixed assets and current assets and other assets such as 'goodwill'. 
A company's debt ratio should be compared with their industry average or other competing firms. The debt/asset ratio shows the proportion of a company's assets which are financed through debt. If the ratio is less than 0.5, most of the company's assets are financed through equity. If the ratio is greater than 0.5, most of the company's assets are financed through debt. Companies with high debt/asset ratios are said to be "highly leveraged", &amp; not highly liquid.
</t>
        </r>
      </text>
    </comment>
    <comment ref="A41" authorId="0">
      <text>
        <r>
          <rPr>
            <b/>
            <sz val="8"/>
            <rFont val="Tahoma"/>
            <family val="0"/>
          </rPr>
          <t>Amit Tandon:</t>
        </r>
        <r>
          <rPr>
            <sz val="8"/>
            <rFont val="Tahoma"/>
            <family val="0"/>
          </rPr>
          <t xml:space="preserve">
The accounts payable turnover ratio indicates how many times a company pays off its suppliers during an accounting period. A falling ratio indicates that the company is taking longer to pay its suppliers.
A falling accounts payable turnover ratio may suggest one of two scenarios. First, the business might be experiencing cash flow problems or disputed invoices with suppliers, which leads to slower payment. However, a successful business may extend payments to make the best possible use of cash and might have negotiated more favorable payment terms with suppliers. Additional analysis is therefore advised when faced with a changing accounts payable turnover ratio.
</t>
        </r>
      </text>
    </comment>
    <comment ref="A44" authorId="0">
      <text>
        <r>
          <rPr>
            <b/>
            <sz val="8"/>
            <rFont val="Tahoma"/>
            <family val="0"/>
          </rPr>
          <t>Amit Tandon:</t>
        </r>
        <r>
          <rPr>
            <sz val="8"/>
            <rFont val="Tahoma"/>
            <family val="0"/>
          </rPr>
          <t xml:space="preserve">
This ratio shows how many days it takes to pay accounts payable ie. the average length of time trade payables are outstanding before they are paid. </t>
        </r>
      </text>
    </comment>
  </commentList>
</comments>
</file>

<file path=xl/comments2.xml><?xml version="1.0" encoding="utf-8"?>
<comments xmlns="http://schemas.openxmlformats.org/spreadsheetml/2006/main">
  <authors>
    <author>Amit Tandon</author>
  </authors>
  <commentList>
    <comment ref="A46" authorId="0">
      <text>
        <r>
          <rPr>
            <b/>
            <sz val="8"/>
            <rFont val="Tahoma"/>
            <family val="2"/>
          </rPr>
          <t>Amit Tandon:</t>
        </r>
        <r>
          <rPr>
            <sz val="8"/>
            <rFont val="Tahoma"/>
            <family val="2"/>
          </rPr>
          <t xml:space="preserve">
Preferred Dividend is payable on par value of stock.</t>
        </r>
      </text>
    </comment>
    <comment ref="A20" authorId="0">
      <text>
        <r>
          <rPr>
            <b/>
            <sz val="8"/>
            <rFont val="Tahoma"/>
            <family val="2"/>
          </rPr>
          <t>Amit Tandon:</t>
        </r>
        <r>
          <rPr>
            <sz val="8"/>
            <rFont val="Tahoma"/>
            <family val="2"/>
          </rPr>
          <t xml:space="preserve">
Includes Depreciation on PP&amp;E, Impairment of Goodwill and Amortization of Intangible Assets. Excludes Amortization of Capitalized Financing Costs.
With the introduction of impairment testing of goodwill, there is no regular charge to the income statement for goodwill. This might result in irregular income statement charges as and when impairments materialize and as a result of which EBIT volatility would increase. 
Free Cash Flows need to be normalized for any volatility on account of goodwill impairment charges, which might need to be excluded for EBIT.</t>
        </r>
      </text>
    </comment>
  </commentList>
</comments>
</file>

<file path=xl/comments3.xml><?xml version="1.0" encoding="utf-8"?>
<comments xmlns="http://schemas.openxmlformats.org/spreadsheetml/2006/main">
  <authors>
    <author>Amit Tandon</author>
  </authors>
  <commentList>
    <comment ref="A27" authorId="0">
      <text>
        <r>
          <rPr>
            <b/>
            <sz val="8"/>
            <rFont val="Tahoma"/>
            <family val="2"/>
          </rPr>
          <t>Amit Tandon:</t>
        </r>
        <r>
          <rPr>
            <sz val="8"/>
            <rFont val="Tahoma"/>
            <family val="2"/>
          </rPr>
          <t xml:space="preserve">
Includes current depreciation.</t>
        </r>
      </text>
    </comment>
    <comment ref="E5" authorId="0">
      <text>
        <r>
          <rPr>
            <b/>
            <sz val="8"/>
            <rFont val="Tahoma"/>
            <family val="2"/>
          </rPr>
          <t>Amit Tandon:</t>
        </r>
        <r>
          <rPr>
            <sz val="8"/>
            <rFont val="Tahoma"/>
            <family val="2"/>
          </rPr>
          <t xml:space="preserve">
Post Acquisition Balance Sheet, Year 0, Opening Balances.</t>
        </r>
      </text>
    </comment>
  </commentList>
</comments>
</file>

<file path=xl/comments4.xml><?xml version="1.0" encoding="utf-8"?>
<comments xmlns="http://schemas.openxmlformats.org/spreadsheetml/2006/main">
  <authors>
    <author>Amit Tandon</author>
  </authors>
  <commentList>
    <comment ref="A70" authorId="0">
      <text>
        <r>
          <rPr>
            <b/>
            <sz val="8"/>
            <rFont val="Tahoma"/>
            <family val="2"/>
          </rPr>
          <t>Amit Tandon:</t>
        </r>
        <r>
          <rPr>
            <sz val="8"/>
            <rFont val="Tahoma"/>
            <family val="2"/>
          </rPr>
          <t xml:space="preserve">
Free cash flow equals EBIT less taxes plus D&amp;A less capital expenditures less the change in working capital (ie. any investments or increase in net working capital which is "current assets - current liabilities"). 
Unlevered Free Cash flows are available to both debt and equity holders.</t>
        </r>
      </text>
    </comment>
    <comment ref="A96" authorId="0">
      <text>
        <r>
          <rPr>
            <b/>
            <sz val="8"/>
            <rFont val="Tahoma"/>
            <family val="2"/>
          </rPr>
          <t>Amit Tandon:</t>
        </r>
        <r>
          <rPr>
            <sz val="8"/>
            <rFont val="Tahoma"/>
            <family val="2"/>
          </rPr>
          <t xml:space="preserve">
Bank Revolver is not incremented for Optional Repayments.</t>
        </r>
      </text>
    </comment>
    <comment ref="A12" authorId="0">
      <text>
        <r>
          <rPr>
            <b/>
            <sz val="8"/>
            <rFont val="Tahoma"/>
            <family val="2"/>
          </rPr>
          <t>Amit Tandon:</t>
        </r>
        <r>
          <rPr>
            <sz val="8"/>
            <rFont val="Tahoma"/>
            <family val="2"/>
          </rPr>
          <t xml:space="preserve">
Includes Depreciation on PP&amp;E, Impairment of Goodwill and Amortization of Intangible Assets. Excludes Amortization of Capitalized Financing Costs.</t>
        </r>
      </text>
    </comment>
    <comment ref="A69" authorId="0">
      <text>
        <r>
          <rPr>
            <b/>
            <sz val="8"/>
            <rFont val="Tahoma"/>
            <family val="0"/>
          </rPr>
          <t>Amit Tandon:</t>
        </r>
        <r>
          <rPr>
            <sz val="8"/>
            <rFont val="Tahoma"/>
            <family val="0"/>
          </rPr>
          <t xml:space="preserve">
Increase in Deferred Taxes will have a positive impact on Cash Flows.</t>
        </r>
      </text>
    </comment>
    <comment ref="A66" authorId="0">
      <text>
        <r>
          <rPr>
            <b/>
            <sz val="8"/>
            <rFont val="Tahoma"/>
            <family val="2"/>
          </rPr>
          <t>Amit Tandon:</t>
        </r>
        <r>
          <rPr>
            <sz val="8"/>
            <rFont val="Tahoma"/>
            <family val="2"/>
          </rPr>
          <t xml:space="preserve">
Includes all depreciation and amortization subtracted from EBITDA to arrive at EBIT, excluding non-deductible goodwill amortization &amp; non-deductible intangibles amortization..</t>
        </r>
      </text>
    </comment>
    <comment ref="A64" authorId="0">
      <text>
        <r>
          <rPr>
            <b/>
            <sz val="8"/>
            <rFont val="Tahoma"/>
            <family val="2"/>
          </rPr>
          <t>Amit Tandon:</t>
        </r>
        <r>
          <rPr>
            <sz val="8"/>
            <rFont val="Tahoma"/>
            <family val="2"/>
          </rPr>
          <t xml:space="preserve">
Calculated by multiplying the marginal tax rate by EBIT after adding back items which are not tax deductible such as non-deductible goodwill amortization &amp; non-deductible intangibles amortization..</t>
        </r>
      </text>
    </comment>
    <comment ref="A61" authorId="0">
      <text>
        <r>
          <rPr>
            <b/>
            <sz val="8"/>
            <rFont val="Tahoma"/>
            <family val="0"/>
          </rPr>
          <t>Amit Tandon:</t>
        </r>
        <r>
          <rPr>
            <sz val="8"/>
            <rFont val="Tahoma"/>
            <family val="0"/>
          </rPr>
          <t xml:space="preserve">
With the introduction of impairment testing of goodwill, there is no regular charge to the income statement for goodwill. This might result in irregular income statement charges as and when impairments materialize and as a result of which EBIT volatility would increase. 
Free Cash Flows need to be normalized for any volatility on account of goodwill impairment charges, which might need to be excluded for EBIT.</t>
        </r>
      </text>
    </comment>
  </commentList>
</comments>
</file>

<file path=xl/comments5.xml><?xml version="1.0" encoding="utf-8"?>
<comments xmlns="http://schemas.openxmlformats.org/spreadsheetml/2006/main">
  <authors>
    <author>Amit Tandon</author>
  </authors>
  <commentList>
    <comment ref="C15" authorId="0">
      <text>
        <r>
          <rPr>
            <b/>
            <sz val="8"/>
            <rFont val="Tahoma"/>
            <family val="0"/>
          </rPr>
          <t>Amit Tandon:</t>
        </r>
        <r>
          <rPr>
            <sz val="8"/>
            <rFont val="Tahoma"/>
            <family val="0"/>
          </rPr>
          <t xml:space="preserve">
On acquisition, management determines the remaining useful life and salvage value.</t>
        </r>
      </text>
    </comment>
    <comment ref="B15" authorId="0">
      <text>
        <r>
          <rPr>
            <b/>
            <sz val="8"/>
            <rFont val="Tahoma"/>
            <family val="2"/>
          </rPr>
          <t>Amit Tandon:</t>
        </r>
        <r>
          <rPr>
            <sz val="8"/>
            <rFont val="Tahoma"/>
            <family val="2"/>
          </rPr>
          <t xml:space="preserve">
Beginning Amount is the "Net PP&amp;E". Depreciable Amount = Beginning Amount minus Salvage Value, where Depreciable Amount will be the total Depreciation provided over the Remaining Useful Life of the asset.</t>
        </r>
      </text>
    </comment>
    <comment ref="A43" authorId="0">
      <text>
        <r>
          <rPr>
            <b/>
            <sz val="8"/>
            <rFont val="Tahoma"/>
            <family val="0"/>
          </rPr>
          <t>Amit Tandon:</t>
        </r>
        <r>
          <rPr>
            <sz val="8"/>
            <rFont val="Tahoma"/>
            <family val="0"/>
          </rPr>
          <t xml:space="preserve">
As per  SFAS 142, for book accounting purpose, goodwill is not amortized but, rather, tested for impairment. For tax purposes, Section 197 of the IRS tax code requires straight-line amortization of all intangible assets (including goodwill) over 15 years only in an: (i) Asset acquisition or (ii) a Stock acquisition with a Section 338 election.</t>
        </r>
      </text>
    </comment>
    <comment ref="B63" authorId="0">
      <text>
        <r>
          <rPr>
            <b/>
            <sz val="8"/>
            <rFont val="Tahoma"/>
            <family val="2"/>
          </rPr>
          <t>Amit Tandon:</t>
        </r>
        <r>
          <rPr>
            <sz val="8"/>
            <rFont val="Tahoma"/>
            <family val="2"/>
          </rPr>
          <t xml:space="preserve">
Beginning Amount is the "Net Depreciable PP&amp;E". Depreciable Amount = Beginning Amount minus Salvage Value, where Depreciable Amount will be the total Depreciation provided over the Remaining Useful Life of the asset.</t>
        </r>
      </text>
    </comment>
    <comment ref="C63" authorId="0">
      <text>
        <r>
          <rPr>
            <b/>
            <sz val="8"/>
            <rFont val="Tahoma"/>
            <family val="0"/>
          </rPr>
          <t>Amit Tandon:</t>
        </r>
        <r>
          <rPr>
            <sz val="8"/>
            <rFont val="Tahoma"/>
            <family val="0"/>
          </rPr>
          <t xml:space="preserve">
On acquisition, management determines the remaining useful life and salvage value.</t>
        </r>
      </text>
    </comment>
    <comment ref="A88" authorId="0">
      <text>
        <r>
          <rPr>
            <b/>
            <sz val="8"/>
            <rFont val="Tahoma"/>
            <family val="0"/>
          </rPr>
          <t>Amit Tandon:</t>
        </r>
        <r>
          <rPr>
            <sz val="8"/>
            <rFont val="Tahoma"/>
            <family val="0"/>
          </rPr>
          <t xml:space="preserve">
As per  FAS 141r, for book accounting purpose, goodwill is not amortized but, rather, tested for impairment. For tax purposes, Section 197 of the IRS tax code requires straight-line amortization of all intangible assets (including goodwill) over 15 years only in an: (i) Asset acquisition or (ii) a Stock acquisition with a Section 338 election.</t>
        </r>
      </text>
    </comment>
    <comment ref="N4" authorId="0">
      <text>
        <r>
          <rPr>
            <b/>
            <sz val="8"/>
            <rFont val="Tahoma"/>
            <family val="2"/>
          </rPr>
          <t>Amit Tandon:</t>
        </r>
        <r>
          <rPr>
            <sz val="8"/>
            <rFont val="Tahoma"/>
            <family val="2"/>
          </rPr>
          <t xml:space="preserve">
As per  SFAS 142, for book accounting purpose, goodwill is not amortized but, rather, tested for impairment. For tax purposes, Section 197 of the IRS tax code requires straight-line amortization of all intangible assets (including goodwill) over 15 years only in an: (i) Asset acquisition or (ii) a Stock acquisition with a Section 338 election.</t>
        </r>
      </text>
    </comment>
  </commentList>
</comments>
</file>

<file path=xl/comments6.xml><?xml version="1.0" encoding="utf-8"?>
<comments xmlns="http://schemas.openxmlformats.org/spreadsheetml/2006/main">
  <authors>
    <author>Amit Tandon</author>
  </authors>
  <commentList>
    <comment ref="A41" authorId="0">
      <text>
        <r>
          <rPr>
            <b/>
            <sz val="8"/>
            <rFont val="Tahoma"/>
            <family val="2"/>
          </rPr>
          <t>Amit Tandon:</t>
        </r>
        <r>
          <rPr>
            <sz val="8"/>
            <rFont val="Tahoma"/>
            <family val="2"/>
          </rPr>
          <t xml:space="preserve">
Currently, only Book &amp; Tax Gain (Loss) on Sale have been taken in this model. The allocation to Balance Sheet &amp; Sale Proceeds are  yet to be accounted for.</t>
        </r>
      </text>
    </comment>
    <comment ref="A29" authorId="0">
      <text>
        <r>
          <rPr>
            <b/>
            <sz val="8"/>
            <rFont val="Tahoma"/>
            <family val="2"/>
          </rPr>
          <t>Amit Tandon:</t>
        </r>
        <r>
          <rPr>
            <sz val="8"/>
            <rFont val="Tahoma"/>
            <family val="2"/>
          </rPr>
          <t xml:space="preserve">
If Cash Taxes exceed Book Taxes, a Deferred Tax Asset (DTA) is created, which is similar to a reduction in DTL. </t>
        </r>
      </text>
    </comment>
  </commentList>
</comments>
</file>

<file path=xl/comments7.xml><?xml version="1.0" encoding="utf-8"?>
<comments xmlns="http://schemas.openxmlformats.org/spreadsheetml/2006/main">
  <authors>
    <author>Amit Tandon</author>
  </authors>
  <commentList>
    <comment ref="A34" authorId="0">
      <text>
        <r>
          <rPr>
            <b/>
            <sz val="8"/>
            <rFont val="Tahoma"/>
            <family val="2"/>
          </rPr>
          <t>Amit Tandon:</t>
        </r>
        <r>
          <rPr>
            <sz val="8"/>
            <rFont val="Tahoma"/>
            <family val="2"/>
          </rPr>
          <t xml:space="preserve">
"Industry" Beta, of comparable companies.</t>
        </r>
      </text>
    </comment>
    <comment ref="C27" authorId="0">
      <text>
        <r>
          <rPr>
            <b/>
            <sz val="8"/>
            <rFont val="Tahoma"/>
            <family val="2"/>
          </rPr>
          <t>Amit Tandon:</t>
        </r>
        <r>
          <rPr>
            <sz val="8"/>
            <rFont val="Tahoma"/>
            <family val="2"/>
          </rPr>
          <t xml:space="preserve">
The Capital Asset Pricing Model (CAPM):  The CAPM formula states the cost of equity equals the risk free rate plus the multiplication of Beta (Relevered Beta) times the equity risk premium. </t>
        </r>
      </text>
    </comment>
    <comment ref="A7" authorId="0">
      <text>
        <r>
          <rPr>
            <b/>
            <sz val="8"/>
            <rFont val="Tahoma"/>
            <family val="2"/>
          </rPr>
          <t>Amit Tandon:</t>
        </r>
        <r>
          <rPr>
            <sz val="8"/>
            <rFont val="Tahoma"/>
            <family val="2"/>
          </rPr>
          <t xml:space="preserve">
"Industry" Beta, of comparable companies.</t>
        </r>
      </text>
    </comment>
    <comment ref="A32" authorId="0">
      <text>
        <r>
          <rPr>
            <b/>
            <sz val="8"/>
            <rFont val="Tahoma"/>
            <family val="2"/>
          </rPr>
          <t>Amit Tandon:</t>
        </r>
        <r>
          <rPr>
            <sz val="8"/>
            <rFont val="Tahoma"/>
            <family val="2"/>
          </rPr>
          <t xml:space="preserve">
Equity investors have 2 risks - business risks and financial risks (due to gearing ie. debt &amp; preferred stock). Unlevering will get a Beta with only the business risks and this is required to be re-levered with the company's gearing.</t>
        </r>
      </text>
    </comment>
    <comment ref="A36" authorId="0">
      <text>
        <r>
          <rPr>
            <b/>
            <sz val="8"/>
            <rFont val="Tahoma"/>
            <family val="2"/>
          </rPr>
          <t>Amit Tandon:</t>
        </r>
        <r>
          <rPr>
            <sz val="8"/>
            <rFont val="Tahoma"/>
            <family val="2"/>
          </rPr>
          <t xml:space="preserve">
Pre-Acquisition Market Values of Debt, Common Equity &amp; Preferred Stock to be taken. </t>
        </r>
      </text>
    </comment>
  </commentList>
</comments>
</file>

<file path=xl/sharedStrings.xml><?xml version="1.0" encoding="utf-8"?>
<sst xmlns="http://schemas.openxmlformats.org/spreadsheetml/2006/main" count="595" uniqueCount="377">
  <si>
    <t>Net Sales</t>
  </si>
  <si>
    <t>Gross Margin</t>
  </si>
  <si>
    <t>Net Income</t>
  </si>
  <si>
    <t>%</t>
  </si>
  <si>
    <t>ASSETS</t>
  </si>
  <si>
    <t>Current Assets:</t>
  </si>
  <si>
    <t>Total Current Assets</t>
  </si>
  <si>
    <t>Net PP&amp;E</t>
  </si>
  <si>
    <t>LIABILITIES &amp; EQUITY</t>
  </si>
  <si>
    <t>Current Liabilities:</t>
  </si>
  <si>
    <t>Total Current Liabilities</t>
  </si>
  <si>
    <t>Total Long Term Debt</t>
  </si>
  <si>
    <t>Balance Sheet Check</t>
  </si>
  <si>
    <t>Gross PP&amp;E</t>
  </si>
  <si>
    <t>Year</t>
  </si>
  <si>
    <t>Total Assets</t>
  </si>
  <si>
    <t>EBIT</t>
  </si>
  <si>
    <t>EBITDA</t>
  </si>
  <si>
    <t>D&amp;A</t>
  </si>
  <si>
    <t>Interest Expense</t>
  </si>
  <si>
    <t>Net Income before Taxes</t>
  </si>
  <si>
    <t>$ amt</t>
  </si>
  <si>
    <t>% of revenue</t>
  </si>
  <si>
    <t>Accounts payable</t>
  </si>
  <si>
    <t>Non-Current Assets:</t>
  </si>
  <si>
    <t>Long-Term Debt:</t>
  </si>
  <si>
    <t>Total Liabilities</t>
  </si>
  <si>
    <t>Total Liabilities &amp; Equity</t>
  </si>
  <si>
    <t>EBITDA Terminal Value Multiple</t>
  </si>
  <si>
    <t>x</t>
  </si>
  <si>
    <t>Accumulated Depreciation</t>
  </si>
  <si>
    <t>Non-cash adjustments:</t>
  </si>
  <si>
    <t>Depreciation and amortization</t>
  </si>
  <si>
    <t>Changes in operating assets and liabilities:</t>
  </si>
  <si>
    <t>Cash flows from investing activities</t>
  </si>
  <si>
    <t>Purchase of property &amp; equipment</t>
  </si>
  <si>
    <t>Net cash provided by (used in) operating activities</t>
  </si>
  <si>
    <t>Net cash provided by (used in) investing activities</t>
  </si>
  <si>
    <t>Cash flows from financing activities</t>
  </si>
  <si>
    <t>Increase (decrease) in accounts payable</t>
  </si>
  <si>
    <t>Net cash provided by (used in) financing activities</t>
  </si>
  <si>
    <t>(Increase) decrease in accounts receivable</t>
  </si>
  <si>
    <t>Net increase (decrease) in cash</t>
  </si>
  <si>
    <t>Cash flows from operating activities</t>
  </si>
  <si>
    <t xml:space="preserve">Tax Rate          </t>
  </si>
  <si>
    <t>Income Statements</t>
  </si>
  <si>
    <t>Balance Sheets</t>
  </si>
  <si>
    <t>Cash Flows</t>
  </si>
  <si>
    <t xml:space="preserve">Year 1               </t>
  </si>
  <si>
    <t>Inventories</t>
  </si>
  <si>
    <t>Prepaids</t>
  </si>
  <si>
    <t>Accrued expenses</t>
  </si>
  <si>
    <t>Other current assets</t>
  </si>
  <si>
    <t>Other current liabilities</t>
  </si>
  <si>
    <t>% of COGS</t>
  </si>
  <si>
    <t>Annual Repayment</t>
  </si>
  <si>
    <t>Coupon Rate</t>
  </si>
  <si>
    <t>Maturity Year</t>
  </si>
  <si>
    <t>% of FV</t>
  </si>
  <si>
    <t>% annual</t>
  </si>
  <si>
    <t>Average Interest</t>
  </si>
  <si>
    <t>select no.</t>
  </si>
  <si>
    <t>Other expenses</t>
  </si>
  <si>
    <t>Cash Minimum</t>
  </si>
  <si>
    <t>1=On. 0=Off.</t>
  </si>
  <si>
    <t>in years</t>
  </si>
  <si>
    <t>year</t>
  </si>
  <si>
    <t>SG&amp;A expenses</t>
  </si>
  <si>
    <t xml:space="preserve">% </t>
  </si>
  <si>
    <t>Accounts receivable</t>
  </si>
  <si>
    <t>Year No.</t>
  </si>
  <si>
    <t>Sales Year 1</t>
  </si>
  <si>
    <t>Sales - Annual Increase</t>
  </si>
  <si>
    <t>Operating Expenses</t>
  </si>
  <si>
    <t>Cost of goods sold</t>
  </si>
  <si>
    <t>(Increase) decrease in inventories</t>
  </si>
  <si>
    <t>(Increase) decrease in prepaids &amp; other assets</t>
  </si>
  <si>
    <t>Increase (decrease) in accrued exp &amp; other liabilities</t>
  </si>
  <si>
    <t>Revolver limit</t>
  </si>
  <si>
    <t>Cash at end of year</t>
  </si>
  <si>
    <t>Cash at beginning of year</t>
  </si>
  <si>
    <t>Bank Revolver</t>
  </si>
  <si>
    <t>Term Loan "A"</t>
  </si>
  <si>
    <t>Term Loan "B"</t>
  </si>
  <si>
    <t>Senior Notes</t>
  </si>
  <si>
    <t>Subordinated Notes</t>
  </si>
  <si>
    <t>Retained Earnings</t>
  </si>
  <si>
    <t>Term Years</t>
  </si>
  <si>
    <t>Goodwill</t>
  </si>
  <si>
    <t>PP&amp;E:</t>
  </si>
  <si>
    <t>No. of Shares outstanding</t>
  </si>
  <si>
    <t>Equity Purchase Price</t>
  </si>
  <si>
    <t>Total Funds Requirement</t>
  </si>
  <si>
    <t>Estimated Cost of Deal:</t>
  </si>
  <si>
    <t>Sources of Funds:</t>
  </si>
  <si>
    <t>Income Statement:</t>
  </si>
  <si>
    <t>Balance Sheet:</t>
  </si>
  <si>
    <t>Other Assumptions:</t>
  </si>
  <si>
    <t>Debt Assumptions:</t>
  </si>
  <si>
    <t>Depreciation (Current)</t>
  </si>
  <si>
    <t>Total Non-Current Assets</t>
  </si>
  <si>
    <t>Total</t>
  </si>
  <si>
    <t>Post-Acq</t>
  </si>
  <si>
    <t>Goodwill/(Gain from Bargain Purchase)</t>
  </si>
  <si>
    <t>Preferred Stock Dividend</t>
  </si>
  <si>
    <t>Pref Stock Retired Year</t>
  </si>
  <si>
    <t>Net Income to Common Shareholders</t>
  </si>
  <si>
    <t>Discount Rate Range</t>
  </si>
  <si>
    <t>Total Enterprise Value</t>
  </si>
  <si>
    <t>EBITDA Multiple Method</t>
  </si>
  <si>
    <t>Perpetuity Growth Method</t>
  </si>
  <si>
    <t>Less: Capital Expenditures</t>
  </si>
  <si>
    <t>EBITDA Multiple Range</t>
  </si>
  <si>
    <t>Perpetuity Growth Range</t>
  </si>
  <si>
    <t>Total Equity Value</t>
  </si>
  <si>
    <t>Discount Rate (WACC)</t>
  </si>
  <si>
    <t>Perpetuity Growth Rate</t>
  </si>
  <si>
    <t>Total Equity Value Per Share</t>
  </si>
  <si>
    <t>FV of Terminal Value (EBITDA)</t>
  </si>
  <si>
    <t>PV of Terminal Value (EBITDA)</t>
  </si>
  <si>
    <t>FV of Terminal Value (Perpetuity)</t>
  </si>
  <si>
    <t>PV of Terminal Value (Perpetuity)</t>
  </si>
  <si>
    <t>Net Debt</t>
  </si>
  <si>
    <t>Shareholder's Equity:</t>
  </si>
  <si>
    <t>Preferred Stock</t>
  </si>
  <si>
    <t>Total Shareholder's Equity</t>
  </si>
  <si>
    <t>nos.</t>
  </si>
  <si>
    <t>Percentage Split of DCF Analysis</t>
  </si>
  <si>
    <t>Cash Flow % of TEV:</t>
  </si>
  <si>
    <t>Terminal Value % of TEV:</t>
  </si>
  <si>
    <t>Discounted Cash Flow Analysis</t>
  </si>
  <si>
    <t>Input Values</t>
  </si>
  <si>
    <t>Estimated Cost of Debt</t>
  </si>
  <si>
    <t>Amount</t>
  </si>
  <si>
    <t>Wtd. Rate</t>
  </si>
  <si>
    <t>Int. Rate</t>
  </si>
  <si>
    <t>WACC</t>
  </si>
  <si>
    <t>Post-Tax</t>
  </si>
  <si>
    <t>Estimated Cost of Preferred Stock</t>
  </si>
  <si>
    <t>Total Book Equity</t>
  </si>
  <si>
    <t>Risk Free Rate (Treasury Bill Rate)</t>
  </si>
  <si>
    <t>Market Risk Premium</t>
  </si>
  <si>
    <t>Unlevered Beta</t>
  </si>
  <si>
    <t>Relevered Beta</t>
  </si>
  <si>
    <t>Total Debt</t>
  </si>
  <si>
    <t>Proportion</t>
  </si>
  <si>
    <t>Weighted Average Cost of Capital</t>
  </si>
  <si>
    <t>Rate</t>
  </si>
  <si>
    <t>Wtd. Cost</t>
  </si>
  <si>
    <t>Cost of Debt (Post-Tax)</t>
  </si>
  <si>
    <t>Cost of Preferred Stock</t>
  </si>
  <si>
    <t>Cost of Equity</t>
  </si>
  <si>
    <t>Levered Beta</t>
  </si>
  <si>
    <t>Pre-Acquisition:</t>
  </si>
  <si>
    <t>Debt</t>
  </si>
  <si>
    <t>Equity</t>
  </si>
  <si>
    <t>Debt/Equity Ratio</t>
  </si>
  <si>
    <t>Post-Acquisition:</t>
  </si>
  <si>
    <t>Estimated Cost of Equity (CAPM)</t>
  </si>
  <si>
    <t>Preferred Stock/Equity Ratio</t>
  </si>
  <si>
    <t>0 = Manual    1 = Computed</t>
  </si>
  <si>
    <t>Manual</t>
  </si>
  <si>
    <t>Computed WACC</t>
  </si>
  <si>
    <t>Beta Calculation</t>
  </si>
  <si>
    <t>Investment</t>
  </si>
  <si>
    <t>IRR</t>
  </si>
  <si>
    <t>Exit Year</t>
  </si>
  <si>
    <t>Leveraged Buyout (LBO) Model</t>
  </si>
  <si>
    <t>Mezzanine Debt</t>
  </si>
  <si>
    <t>Seller Notes</t>
  </si>
  <si>
    <t>Debt:</t>
  </si>
  <si>
    <t>Preferred:</t>
  </si>
  <si>
    <t>Equity:</t>
  </si>
  <si>
    <t>Common - Sponsor Equity</t>
  </si>
  <si>
    <t>Management Equity</t>
  </si>
  <si>
    <t>Cash Infusion</t>
  </si>
  <si>
    <t>Excess Cash</t>
  </si>
  <si>
    <t>Existing Debt</t>
  </si>
  <si>
    <t>Pre-Acq</t>
  </si>
  <si>
    <t>Offer Premium</t>
  </si>
  <si>
    <t>Curent Stock Price</t>
  </si>
  <si>
    <t>Offer Price Per Share</t>
  </si>
  <si>
    <t>Years PIK</t>
  </si>
  <si>
    <t>Fees</t>
  </si>
  <si>
    <t>Less:</t>
  </si>
  <si>
    <t xml:space="preserve">Add: </t>
  </si>
  <si>
    <t>Existing Goodwill</t>
  </si>
  <si>
    <t>Capex</t>
  </si>
  <si>
    <t>Capex Interval</t>
  </si>
  <si>
    <t>Bullet Year Repayment</t>
  </si>
  <si>
    <t>Undrawn Commitment Fee</t>
  </si>
  <si>
    <t>Assumed Debt</t>
  </si>
  <si>
    <t>Total Long-Term Liabilities</t>
  </si>
  <si>
    <t>Cash in bank</t>
  </si>
  <si>
    <t>Existing Debt Retired</t>
  </si>
  <si>
    <t>Net Assets (Book Value)</t>
  </si>
  <si>
    <t>Adj</t>
  </si>
  <si>
    <t>1=Yes  0=No</t>
  </si>
  <si>
    <t>enter no.</t>
  </si>
  <si>
    <t>Financing</t>
  </si>
  <si>
    <t>Costs</t>
  </si>
  <si>
    <t>Amortization</t>
  </si>
  <si>
    <t>Annual</t>
  </si>
  <si>
    <t>Deferred Tax Liability</t>
  </si>
  <si>
    <t>Goodwill / Bargain Purchase:</t>
  </si>
  <si>
    <t>Identifiable Tangibles Write-up</t>
  </si>
  <si>
    <t>Fixed Assets (PP&amp;E) Write-up</t>
  </si>
  <si>
    <t>Intangible Assets</t>
  </si>
  <si>
    <t>DTL Created on Assets Write-up</t>
  </si>
  <si>
    <t>Deferred Tax Liability - existing</t>
  </si>
  <si>
    <t>Cash Available for Debt Repayment</t>
  </si>
  <si>
    <t>Mandatory Repayment</t>
  </si>
  <si>
    <t>Optional Repayment</t>
  </si>
  <si>
    <t>Sub-total</t>
  </si>
  <si>
    <t>Cash Balance</t>
  </si>
  <si>
    <t>Minimum Cash Balance</t>
  </si>
  <si>
    <t>Cash Available for Optional Repayment</t>
  </si>
  <si>
    <t>Incremental Revolver</t>
  </si>
  <si>
    <t>Depreciation &amp; Amortization</t>
  </si>
  <si>
    <t>Depreciation Method</t>
  </si>
  <si>
    <t>Class 1</t>
  </si>
  <si>
    <t>Beginning Amt</t>
  </si>
  <si>
    <t>Salvage</t>
  </si>
  <si>
    <t>Class 2</t>
  </si>
  <si>
    <t>Class 3</t>
  </si>
  <si>
    <t>Class 4</t>
  </si>
  <si>
    <t>Useful Life</t>
  </si>
  <si>
    <t>Remaining Life</t>
  </si>
  <si>
    <t>Manual or Computed Depreciation</t>
  </si>
  <si>
    <t>PP&amp;E Write-up</t>
  </si>
  <si>
    <t xml:space="preserve"> 0=SLN   1=Sum of Years </t>
  </si>
  <si>
    <t xml:space="preserve"> 0=Manual   1=Computed</t>
  </si>
  <si>
    <t>Existing PP&amp;E (incl Write-up)</t>
  </si>
  <si>
    <t>Capex Start Year</t>
  </si>
  <si>
    <t>Manual Depreciation</t>
  </si>
  <si>
    <t>Total Book Depreciation</t>
  </si>
  <si>
    <t>Computed Depreciation</t>
  </si>
  <si>
    <t>Amortization of Intangibles (incl Write-up)</t>
  </si>
  <si>
    <t>Impairment of Goodwill</t>
  </si>
  <si>
    <t>Period (Yrs)</t>
  </si>
  <si>
    <t>Amortization of Capitalized Financing Costs</t>
  </si>
  <si>
    <t>Book Depreciation &amp; Amortization:</t>
  </si>
  <si>
    <t>Tax Depreciation &amp; Amortization:</t>
  </si>
  <si>
    <t>Total Tax Depreciation</t>
  </si>
  <si>
    <t>Amortization of Goodwill</t>
  </si>
  <si>
    <t>Income Tax Calculation</t>
  </si>
  <si>
    <t>Net Income before Tax</t>
  </si>
  <si>
    <t>Projected Asset Sales:</t>
  </si>
  <si>
    <t>Estimated Sale Proceeds</t>
  </si>
  <si>
    <t>Book Basis of Assets</t>
  </si>
  <si>
    <t>Tax Basis of Assets</t>
  </si>
  <si>
    <t>Book Gain (Loss) on Sale</t>
  </si>
  <si>
    <t>Tax Gain (Loss) on Sale</t>
  </si>
  <si>
    <t>Allocation to Balance Sheet:</t>
  </si>
  <si>
    <t>Other Long-Term Assets</t>
  </si>
  <si>
    <t>Add: Book Depreciation</t>
  </si>
  <si>
    <t>Less: Tax Depreciation</t>
  </si>
  <si>
    <t>Add: Book Impairment of Goodwill</t>
  </si>
  <si>
    <t>Less: Tax Amortization of Goodwill</t>
  </si>
  <si>
    <t>Add: Book (Gain) Loss on Assets Sale</t>
  </si>
  <si>
    <t>Less: Tax (Gain) Loss on Assets Sale</t>
  </si>
  <si>
    <t>Add: Book Amortization of Intangibles</t>
  </si>
  <si>
    <t>Less: Tax Amortization of Intangibles</t>
  </si>
  <si>
    <t>Add: Non-Deductible Expenses</t>
  </si>
  <si>
    <t>Pre-NOL Taxable Income</t>
  </si>
  <si>
    <t>Post-NOL Taxable Income</t>
  </si>
  <si>
    <t>Cash Taxes Payable</t>
  </si>
  <si>
    <t>Beginning NOL Balance</t>
  </si>
  <si>
    <t>Current Year NOL</t>
  </si>
  <si>
    <t>NOLs Used</t>
  </si>
  <si>
    <t>Less: NOLs Used</t>
  </si>
  <si>
    <t>Ending NOL Balance</t>
  </si>
  <si>
    <t>Total Book Tax</t>
  </si>
  <si>
    <t>Increase (Decrease) in Deferred Tax Liability</t>
  </si>
  <si>
    <t>(Increase) decrease in other long-term assets</t>
  </si>
  <si>
    <t>Other long-term assets</t>
  </si>
  <si>
    <t>Fair Value PP&amp;E</t>
  </si>
  <si>
    <t>Tax PP&amp;E</t>
  </si>
  <si>
    <t>Income/BS Assumptions:</t>
  </si>
  <si>
    <t>Expensed Transaction Costs</t>
  </si>
  <si>
    <t>Capitalized Financing Costs</t>
  </si>
  <si>
    <t>Existing PP&amp;E (Tax)</t>
  </si>
  <si>
    <t>Total Cost ($)</t>
  </si>
  <si>
    <t>Income Tax Expense (Benefit)</t>
  </si>
  <si>
    <t xml:space="preserve">Amortization of Capitalized </t>
  </si>
  <si>
    <t>Financing Costs</t>
  </si>
  <si>
    <t>Other Expenses (Income)</t>
  </si>
  <si>
    <t>Tax Liability</t>
  </si>
  <si>
    <t>Increase (Decrease) in Deferred</t>
  </si>
  <si>
    <t>(Gain) Loss on Asset Sales</t>
  </si>
  <si>
    <t>Less: (Increase) decrease in Deferred Tax</t>
  </si>
  <si>
    <t>Unlevered Net Income</t>
  </si>
  <si>
    <t xml:space="preserve">Plus: D&amp;A &amp; other non-cash charges affecting EBIT </t>
  </si>
  <si>
    <t>Unlevered Free Cash Flows (UFCF)</t>
  </si>
  <si>
    <t>EBIT (Adj)</t>
  </si>
  <si>
    <t>Less: Tax on EBIT (Adj)</t>
  </si>
  <si>
    <t>Cash Flow Check</t>
  </si>
  <si>
    <t>Less: Increase in Net (non-cash) Working Capital</t>
  </si>
  <si>
    <t xml:space="preserve"> 0=Not Deductible   1=Tax Deductible</t>
  </si>
  <si>
    <t>On / Off</t>
  </si>
  <si>
    <t>Optional Prepayment</t>
  </si>
  <si>
    <t>Add: Amortization of non-deductible goodwill &amp; intangibles</t>
  </si>
  <si>
    <t>Goodwill &amp; Intangibles Amortization</t>
  </si>
  <si>
    <t>Free Cash Flows</t>
  </si>
  <si>
    <t>Debt Repayment</t>
  </si>
  <si>
    <t>NPV of Free Cash Flow</t>
  </si>
  <si>
    <t>DCF Assumptions:</t>
  </si>
  <si>
    <t>Common Equity</t>
  </si>
  <si>
    <t>New Equity</t>
  </si>
  <si>
    <t>IRR / Returns Calculation</t>
  </si>
  <si>
    <t>Equity Allocation on Exit</t>
  </si>
  <si>
    <t>Management Performance Equity</t>
  </si>
  <si>
    <t>Undiluted</t>
  </si>
  <si>
    <t>Diluted</t>
  </si>
  <si>
    <t>N/A</t>
  </si>
  <si>
    <t>Allocation of Exit Proceeds</t>
  </si>
  <si>
    <t>EBITDA Multiple (Exit Year)</t>
  </si>
  <si>
    <t>EBITDA (Exit Year)</t>
  </si>
  <si>
    <t>Exit Year Enterprise Value</t>
  </si>
  <si>
    <t>Less: Debt</t>
  </si>
  <si>
    <t>Less: Preferred Stock</t>
  </si>
  <si>
    <t>Add: Excess Cash</t>
  </si>
  <si>
    <t>Equity Value - Allocable Proceeds</t>
  </si>
  <si>
    <t>% Allocation</t>
  </si>
  <si>
    <t>Allocation</t>
  </si>
  <si>
    <t>Initial Investment</t>
  </si>
  <si>
    <t>Cash Interest</t>
  </si>
  <si>
    <t>Cash Flows &amp; IRR</t>
  </si>
  <si>
    <t>Participation on Exit</t>
  </si>
  <si>
    <t>Cash Dividend</t>
  </si>
  <si>
    <t>Dividend</t>
  </si>
  <si>
    <t>Common Stock Dividend</t>
  </si>
  <si>
    <t>Principal</t>
  </si>
  <si>
    <t>Repayment</t>
  </si>
  <si>
    <t>Ratio Analysis</t>
  </si>
  <si>
    <t>Total Debt / Book Capitalization</t>
  </si>
  <si>
    <t>Total Debt / Equity</t>
  </si>
  <si>
    <t>Total Debt / EBITDA</t>
  </si>
  <si>
    <t>Senior Debt / EBITDA</t>
  </si>
  <si>
    <t>Net Debt / EBITDA</t>
  </si>
  <si>
    <t>Total Debt / (EBITDA - Capex)</t>
  </si>
  <si>
    <t>Leverage Ratios</t>
  </si>
  <si>
    <t>Capital Ratios</t>
  </si>
  <si>
    <t>Interest Coverage</t>
  </si>
  <si>
    <t>EBITDA / Senior Interest</t>
  </si>
  <si>
    <t>EBITDA / Total Interest</t>
  </si>
  <si>
    <t>EBITDA / Cash Interest</t>
  </si>
  <si>
    <t>(EBITDA - Capex) / Total Interest</t>
  </si>
  <si>
    <t>(EBITDA - Capex) / Senior Interest</t>
  </si>
  <si>
    <t>(EBITDA - Capex) / Cash Interest</t>
  </si>
  <si>
    <t>Inventory Turnover (COGS)</t>
  </si>
  <si>
    <t>Inventory Holding Period (Days)</t>
  </si>
  <si>
    <t>Total Asset Turnover (Sales)</t>
  </si>
  <si>
    <t>Fixed Asset Turnover (Sales)</t>
  </si>
  <si>
    <t>Asset Utilization</t>
  </si>
  <si>
    <t>Accounts Receivable Turnover (Sales)</t>
  </si>
  <si>
    <t>Accounts Payable Turnover (COGS &amp; Inv)</t>
  </si>
  <si>
    <t>Days Receivable (Sales)</t>
  </si>
  <si>
    <t>Days Payable (COGS &amp; Inv)</t>
  </si>
  <si>
    <t>% of COGS plus inventory increase</t>
  </si>
  <si>
    <t>Liquidity Ratios</t>
  </si>
  <si>
    <t>Current Ratio</t>
  </si>
  <si>
    <t>Returns</t>
  </si>
  <si>
    <t>Return on Equity (ROE)</t>
  </si>
  <si>
    <t>Return on Assets (ROA)</t>
  </si>
  <si>
    <t>Operating Results</t>
  </si>
  <si>
    <t>Sales Growth</t>
  </si>
  <si>
    <t>EBITDA Margin</t>
  </si>
  <si>
    <t>EBIT Margin</t>
  </si>
  <si>
    <t>Pre-Tax Profit Ratio</t>
  </si>
  <si>
    <t>Activity Ratios</t>
  </si>
  <si>
    <t>Quick (Acid Test) Ratio</t>
  </si>
  <si>
    <t>EBIT / Total Interest</t>
  </si>
  <si>
    <t>Debt Ratio</t>
  </si>
  <si>
    <t>*Enter values in yellow cells.</t>
  </si>
  <si>
    <t>http://www.globaliconnect.com/excel_models.php</t>
  </si>
  <si>
    <t xml:space="preserve">To help us improve this model, please send your feedback to info@globaliconnect.com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</si>
</sst>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Red]\(#,##0.0\)"/>
    <numFmt numFmtId="166" formatCode="&quot;$&quot;#,##0.0_);[Red]\(&quot;$&quot;#,##0.0\)"/>
    <numFmt numFmtId="167" formatCode="&quot;Senior&quot;;[Red]&quot;Error&quot;;&quot;Subordinated&quot;"/>
    <numFmt numFmtId="168" formatCode="&quot;Mandatory&quot;;[Red]&quot;Error&quot;;&quot;Automatic&quot;"/>
    <numFmt numFmtId="169" formatCode="&quot;Yes&quot;;[Red]&quot;Error&quot;;&quot;No&quot;"/>
    <numFmt numFmtId="170" formatCode=";;;"/>
    <numFmt numFmtId="171" formatCode="0.0\x"/>
    <numFmt numFmtId="172" formatCode="00.0%"/>
    <numFmt numFmtId="173" formatCode="&quot;Manual WACC&quot;;[Red]&quot;Error&quot;;&quot;Computed WACC&quot;"/>
    <numFmt numFmtId="174" formatCode="&quot;Manual&quot;;[Red]&quot;Error&quot;;&quot;Computed&quot;"/>
    <numFmt numFmtId="175" formatCode="#,##0.0000_);[Red]\(#,##0.0000\)"/>
    <numFmt numFmtId="176" formatCode="&quot;Yes&quot;;&quot;Yes&quot;;&quot;No&quot;"/>
    <numFmt numFmtId="177" formatCode="&quot;True&quot;;&quot;True&quot;;&quot;False&quot;"/>
    <numFmt numFmtId="178" formatCode="&quot;On&quot;;&quot;On&quot;;&quot;Off&quot;"/>
    <numFmt numFmtId="179" formatCode="[$€-2]\ #,##0.00_);[Red]\([$€-2]\ #,##0.00\)"/>
    <numFmt numFmtId="180" formatCode="&quot;$&quot;#,##0.000_);[Red]\(&quot;$&quot;#,##0.000\)"/>
    <numFmt numFmtId="181" formatCode="&quot;$&quot;#,##0.0000_);[Red]\(&quot;$&quot;#,##0.0000\)"/>
    <numFmt numFmtId="182" formatCode="&quot;$&quot;#,##0.00000_);[Red]\(&quot;$&quot;#,##0.00000\)"/>
    <numFmt numFmtId="183" formatCode="0.0"/>
    <numFmt numFmtId="184" formatCode="[$-409]h:mm:ss\ AM/PM"/>
    <numFmt numFmtId="185" formatCode="_(* #,##0.0_);_(* \(#,##0.0\);_(* &quot;-&quot;??_);_(@_)"/>
    <numFmt numFmtId="186" formatCode="_(* #,##0_);_(* \(#,##0\);_(* &quot;-&quot;??_);_(@_)"/>
    <numFmt numFmtId="187" formatCode="#,##0.000_);[Red]\(#,##0.000\)"/>
  </numFmts>
  <fonts count="82">
    <font>
      <sz val="10"/>
      <name val="Arial"/>
      <family val="0"/>
    </font>
    <font>
      <b/>
      <sz val="10"/>
      <name val="Arial"/>
      <family val="2"/>
    </font>
    <font>
      <sz val="8"/>
      <name val="Tahoma"/>
      <family val="2"/>
    </font>
    <font>
      <b/>
      <sz val="8"/>
      <name val="Tahoma"/>
      <family val="2"/>
    </font>
    <font>
      <sz val="9"/>
      <name val="Arial"/>
      <family val="2"/>
    </font>
    <font>
      <b/>
      <sz val="9"/>
      <name val="Arial"/>
      <family val="2"/>
    </font>
    <font>
      <sz val="8"/>
      <name val="Arial"/>
      <family val="2"/>
    </font>
    <font>
      <i/>
      <sz val="9"/>
      <name val="Arial"/>
      <family val="2"/>
    </font>
    <font>
      <u val="single"/>
      <sz val="9"/>
      <name val="Arial"/>
      <family val="2"/>
    </font>
    <font>
      <u val="single"/>
      <sz val="8"/>
      <name val="Arial"/>
      <family val="2"/>
    </font>
    <font>
      <u val="single"/>
      <sz val="10"/>
      <name val="Arial"/>
      <family val="2"/>
    </font>
    <font>
      <b/>
      <sz val="8"/>
      <name val="Arial"/>
      <family val="2"/>
    </font>
    <font>
      <sz val="9"/>
      <color indexed="12"/>
      <name val="Arial"/>
      <family val="2"/>
    </font>
    <font>
      <b/>
      <i/>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22"/>
      <name val="Arial"/>
      <family val="2"/>
    </font>
    <font>
      <sz val="9"/>
      <color indexed="55"/>
      <name val="Arial"/>
      <family val="2"/>
    </font>
    <font>
      <sz val="10"/>
      <color indexed="55"/>
      <name val="Arial"/>
      <family val="2"/>
    </font>
    <font>
      <sz val="9"/>
      <color indexed="9"/>
      <name val="Arial"/>
      <family val="2"/>
    </font>
    <font>
      <sz val="9"/>
      <color indexed="30"/>
      <name val="Arial"/>
      <family val="2"/>
    </font>
    <font>
      <b/>
      <i/>
      <sz val="12"/>
      <color indexed="30"/>
      <name val="Arial"/>
      <family val="2"/>
    </font>
    <font>
      <sz val="10"/>
      <color indexed="63"/>
      <name val="Arial"/>
      <family val="2"/>
    </font>
    <font>
      <b/>
      <i/>
      <sz val="9"/>
      <color indexed="30"/>
      <name val="Arial"/>
      <family val="2"/>
    </font>
    <font>
      <b/>
      <i/>
      <sz val="10"/>
      <color indexed="30"/>
      <name val="Arial"/>
      <family val="2"/>
    </font>
    <font>
      <b/>
      <sz val="8"/>
      <color indexed="10"/>
      <name val="Arial"/>
      <family val="2"/>
    </font>
    <font>
      <b/>
      <sz val="9"/>
      <color indexed="30"/>
      <name val="Arial"/>
      <family val="2"/>
    </font>
    <font>
      <sz val="9"/>
      <color indexed="40"/>
      <name val="Arial"/>
      <family val="2"/>
    </font>
    <font>
      <b/>
      <sz val="12"/>
      <color indexed="10"/>
      <name val="Arial"/>
      <family val="2"/>
    </font>
    <font>
      <b/>
      <sz val="9"/>
      <color indexed="9"/>
      <name val="Arial"/>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tint="-0.1499900072813034"/>
      <name val="Arial"/>
      <family val="2"/>
    </font>
    <font>
      <sz val="9"/>
      <color theme="0" tint="-0.3499799966812134"/>
      <name val="Arial"/>
      <family val="2"/>
    </font>
    <font>
      <sz val="10"/>
      <color theme="0" tint="-0.3499799966812134"/>
      <name val="Arial"/>
      <family val="2"/>
    </font>
    <font>
      <sz val="9"/>
      <color theme="0"/>
      <name val="Arial"/>
      <family val="2"/>
    </font>
    <font>
      <sz val="9"/>
      <color rgb="FF0070C0"/>
      <name val="Arial"/>
      <family val="2"/>
    </font>
    <font>
      <b/>
      <i/>
      <sz val="12"/>
      <color rgb="FF0070C0"/>
      <name val="Arial"/>
      <family val="2"/>
    </font>
    <font>
      <sz val="10"/>
      <color rgb="FF333333"/>
      <name val="Arial"/>
      <family val="2"/>
    </font>
    <font>
      <b/>
      <i/>
      <sz val="9"/>
      <color rgb="FF0070C0"/>
      <name val="Arial"/>
      <family val="2"/>
    </font>
    <font>
      <b/>
      <i/>
      <sz val="10"/>
      <color rgb="FF0070C0"/>
      <name val="Arial"/>
      <family val="2"/>
    </font>
    <font>
      <b/>
      <sz val="8"/>
      <color rgb="FFFF0000"/>
      <name val="Arial"/>
      <family val="2"/>
    </font>
    <font>
      <b/>
      <sz val="9"/>
      <color rgb="FF0070C0"/>
      <name val="Arial"/>
      <family val="2"/>
    </font>
    <font>
      <sz val="9"/>
      <color theme="0" tint="-0.04997999966144562"/>
      <name val="Arial"/>
      <family val="2"/>
    </font>
    <font>
      <sz val="9"/>
      <color rgb="FF00B0F0"/>
      <name val="Arial"/>
      <family val="2"/>
    </font>
    <font>
      <b/>
      <sz val="12"/>
      <color rgb="FFFF0000"/>
      <name val="Arial"/>
      <family val="2"/>
    </font>
    <font>
      <b/>
      <sz val="9"/>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rgb="FFFFFF99"/>
        <bgColor indexed="64"/>
      </patternFill>
    </fill>
    <fill>
      <patternFill patternType="solid">
        <fgColor theme="3" tint="0.799979984760284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style="thin"/>
      <bottom style="thin"/>
    </border>
    <border>
      <left>
        <color indexed="63"/>
      </left>
      <right style="medium"/>
      <top>
        <color indexed="63"/>
      </top>
      <bottom>
        <color indexed="63"/>
      </bottom>
    </border>
    <border>
      <left style="medium"/>
      <right style="thin"/>
      <top style="thin"/>
      <bottom style="thin"/>
    </border>
    <border>
      <left>
        <color indexed="63"/>
      </left>
      <right style="medium"/>
      <top style="thin"/>
      <bottom>
        <color indexed="63"/>
      </botto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medium"/>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71">
    <xf numFmtId="0" fontId="0" fillId="0" borderId="0" xfId="0" applyAlignment="1">
      <alignment/>
    </xf>
    <xf numFmtId="0" fontId="0" fillId="0" borderId="0" xfId="0" applyAlignment="1">
      <alignment horizontal="center"/>
    </xf>
    <xf numFmtId="0" fontId="0" fillId="0" borderId="0" xfId="0" applyFont="1" applyAlignment="1">
      <alignment/>
    </xf>
    <xf numFmtId="38" fontId="4" fillId="0" borderId="0" xfId="0" applyNumberFormat="1" applyFont="1" applyAlignment="1">
      <alignment horizontal="center"/>
    </xf>
    <xf numFmtId="38" fontId="4" fillId="0" borderId="0" xfId="0" applyNumberFormat="1" applyFont="1" applyAlignment="1">
      <alignment/>
    </xf>
    <xf numFmtId="38" fontId="67" fillId="0" borderId="0" xfId="0" applyNumberFormat="1" applyFont="1" applyAlignment="1">
      <alignment/>
    </xf>
    <xf numFmtId="0" fontId="0" fillId="0" borderId="0" xfId="0" applyFont="1" applyAlignment="1">
      <alignment/>
    </xf>
    <xf numFmtId="38" fontId="0" fillId="0" borderId="0" xfId="0" applyNumberFormat="1" applyAlignment="1">
      <alignment/>
    </xf>
    <xf numFmtId="0" fontId="4" fillId="0" borderId="0" xfId="0" applyFont="1" applyAlignment="1">
      <alignment/>
    </xf>
    <xf numFmtId="0" fontId="1" fillId="0" borderId="0" xfId="0" applyFont="1" applyAlignment="1">
      <alignment/>
    </xf>
    <xf numFmtId="0" fontId="0" fillId="0" borderId="0" xfId="0" applyFont="1" applyAlignment="1">
      <alignment horizontal="left" indent="1"/>
    </xf>
    <xf numFmtId="0" fontId="0" fillId="0" borderId="0" xfId="0" applyFont="1" applyFill="1" applyAlignment="1">
      <alignment horizontal="center"/>
    </xf>
    <xf numFmtId="38" fontId="4" fillId="0" borderId="10" xfId="0" applyNumberFormat="1" applyFont="1" applyBorder="1" applyAlignment="1">
      <alignment/>
    </xf>
    <xf numFmtId="38" fontId="4" fillId="0" borderId="0" xfId="0" applyNumberFormat="1" applyFont="1" applyFill="1" applyBorder="1" applyAlignment="1">
      <alignment/>
    </xf>
    <xf numFmtId="0" fontId="0" fillId="33" borderId="11" xfId="0" applyFill="1" applyBorder="1" applyAlignment="1">
      <alignment horizontal="center"/>
    </xf>
    <xf numFmtId="0" fontId="0" fillId="34" borderId="11" xfId="0" applyFill="1" applyBorder="1" applyAlignment="1">
      <alignment horizontal="center"/>
    </xf>
    <xf numFmtId="0" fontId="0" fillId="0" borderId="11" xfId="0" applyBorder="1" applyAlignment="1">
      <alignment horizontal="center"/>
    </xf>
    <xf numFmtId="38" fontId="68" fillId="0" borderId="0" xfId="0" applyNumberFormat="1" applyFont="1" applyAlignment="1">
      <alignment/>
    </xf>
    <xf numFmtId="10" fontId="0" fillId="0" borderId="0" xfId="0" applyNumberFormat="1" applyFont="1" applyFill="1" applyAlignment="1">
      <alignment horizontal="center"/>
    </xf>
    <xf numFmtId="10" fontId="0" fillId="0" borderId="0" xfId="0" applyNumberFormat="1" applyAlignment="1">
      <alignment/>
    </xf>
    <xf numFmtId="0" fontId="0" fillId="0" borderId="0" xfId="0" applyFont="1" applyAlignment="1">
      <alignment horizontal="left" indent="1"/>
    </xf>
    <xf numFmtId="0" fontId="69" fillId="0" borderId="0" xfId="0" applyFont="1" applyAlignment="1">
      <alignment horizontal="left" indent="1"/>
    </xf>
    <xf numFmtId="0" fontId="0" fillId="0" borderId="0" xfId="0" applyFont="1" applyAlignment="1">
      <alignment horizontal="left"/>
    </xf>
    <xf numFmtId="0" fontId="0" fillId="0" borderId="0" xfId="0" applyFont="1" applyAlignment="1">
      <alignment horizontal="left"/>
    </xf>
    <xf numFmtId="0" fontId="0" fillId="0" borderId="11" xfId="0" applyFont="1" applyBorder="1" applyAlignment="1">
      <alignment horizontal="center"/>
    </xf>
    <xf numFmtId="0" fontId="4" fillId="0" borderId="0" xfId="0" applyFont="1" applyFill="1" applyBorder="1" applyAlignment="1">
      <alignment/>
    </xf>
    <xf numFmtId="6" fontId="4" fillId="0" borderId="0" xfId="0" applyNumberFormat="1" applyFont="1" applyAlignment="1">
      <alignment/>
    </xf>
    <xf numFmtId="0" fontId="5" fillId="35" borderId="12" xfId="0" applyFont="1" applyFill="1" applyBorder="1" applyAlignment="1">
      <alignment/>
    </xf>
    <xf numFmtId="0" fontId="4" fillId="35" borderId="13" xfId="0" applyFont="1" applyFill="1" applyBorder="1" applyAlignment="1">
      <alignment/>
    </xf>
    <xf numFmtId="0" fontId="5" fillId="35" borderId="13" xfId="0" applyFont="1" applyFill="1" applyBorder="1" applyAlignment="1">
      <alignment/>
    </xf>
    <xf numFmtId="0" fontId="4" fillId="34" borderId="12" xfId="0" applyFont="1" applyFill="1" applyBorder="1" applyAlignment="1">
      <alignment/>
    </xf>
    <xf numFmtId="0" fontId="4" fillId="34" borderId="13"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5" fillId="36" borderId="12" xfId="0" applyFont="1" applyFill="1" applyBorder="1" applyAlignment="1">
      <alignment/>
    </xf>
    <xf numFmtId="0" fontId="5" fillId="36" borderId="13" xfId="0" applyFont="1" applyFill="1" applyBorder="1" applyAlignment="1">
      <alignment/>
    </xf>
    <xf numFmtId="0" fontId="4" fillId="37" borderId="0" xfId="0" applyFont="1" applyFill="1" applyBorder="1" applyAlignment="1">
      <alignment/>
    </xf>
    <xf numFmtId="0" fontId="4" fillId="34" borderId="14" xfId="0" applyFont="1" applyFill="1" applyBorder="1" applyAlignment="1">
      <alignment/>
    </xf>
    <xf numFmtId="0" fontId="4" fillId="34" borderId="15" xfId="0" applyFont="1" applyFill="1" applyBorder="1" applyAlignment="1">
      <alignment/>
    </xf>
    <xf numFmtId="0" fontId="5" fillId="34" borderId="12" xfId="0" applyFont="1" applyFill="1" applyBorder="1" applyAlignment="1">
      <alignment/>
    </xf>
    <xf numFmtId="6" fontId="4" fillId="33" borderId="11" xfId="0" applyNumberFormat="1" applyFont="1" applyFill="1" applyBorder="1" applyAlignment="1">
      <alignment/>
    </xf>
    <xf numFmtId="0" fontId="4" fillId="37" borderId="12" xfId="0" applyFont="1" applyFill="1" applyBorder="1" applyAlignment="1">
      <alignment/>
    </xf>
    <xf numFmtId="0" fontId="4" fillId="37" borderId="13" xfId="0" applyFont="1" applyFill="1" applyBorder="1" applyAlignment="1">
      <alignment/>
    </xf>
    <xf numFmtId="0" fontId="4" fillId="33" borderId="15" xfId="0" applyFont="1" applyFill="1" applyBorder="1" applyAlignment="1">
      <alignment/>
    </xf>
    <xf numFmtId="10" fontId="4" fillId="33" borderId="13" xfId="0" applyNumberFormat="1" applyFont="1" applyFill="1" applyBorder="1" applyAlignment="1">
      <alignment/>
    </xf>
    <xf numFmtId="0" fontId="4" fillId="0" borderId="0" xfId="0" applyFont="1" applyBorder="1" applyAlignment="1">
      <alignment/>
    </xf>
    <xf numFmtId="0" fontId="4" fillId="36" borderId="13" xfId="0" applyFont="1" applyFill="1" applyBorder="1" applyAlignment="1">
      <alignment/>
    </xf>
    <xf numFmtId="0" fontId="4" fillId="34" borderId="16" xfId="0" applyFont="1" applyFill="1" applyBorder="1" applyAlignment="1">
      <alignment/>
    </xf>
    <xf numFmtId="0" fontId="4" fillId="34" borderId="11" xfId="0" applyFont="1" applyFill="1" applyBorder="1" applyAlignment="1">
      <alignment/>
    </xf>
    <xf numFmtId="0" fontId="4" fillId="34" borderId="17" xfId="0" applyFont="1" applyFill="1" applyBorder="1" applyAlignment="1">
      <alignment/>
    </xf>
    <xf numFmtId="0" fontId="5" fillId="0" borderId="0" xfId="0" applyFont="1" applyAlignment="1">
      <alignment/>
    </xf>
    <xf numFmtId="0" fontId="4" fillId="37" borderId="14" xfId="0" applyFont="1" applyFill="1" applyBorder="1" applyAlignment="1">
      <alignment/>
    </xf>
    <xf numFmtId="0" fontId="4" fillId="37" borderId="15" xfId="0" applyFont="1" applyFill="1" applyBorder="1" applyAlignment="1">
      <alignment/>
    </xf>
    <xf numFmtId="38" fontId="5" fillId="0" borderId="0" xfId="0" applyNumberFormat="1" applyFont="1" applyAlignment="1">
      <alignment/>
    </xf>
    <xf numFmtId="0" fontId="4" fillId="0" borderId="13" xfId="0" applyFont="1" applyBorder="1" applyAlignment="1">
      <alignment/>
    </xf>
    <xf numFmtId="0" fontId="4" fillId="0" borderId="11" xfId="0" applyFont="1" applyBorder="1" applyAlignment="1">
      <alignment/>
    </xf>
    <xf numFmtId="0" fontId="4" fillId="0" borderId="0" xfId="0" applyFont="1" applyAlignment="1">
      <alignment horizontal="center"/>
    </xf>
    <xf numFmtId="0" fontId="4" fillId="0" borderId="0" xfId="0" applyFont="1" applyFill="1" applyAlignment="1">
      <alignment horizontal="center"/>
    </xf>
    <xf numFmtId="38" fontId="4" fillId="0" borderId="0" xfId="0" applyNumberFormat="1" applyFont="1" applyFill="1" applyAlignment="1">
      <alignment horizontal="right"/>
    </xf>
    <xf numFmtId="38" fontId="4" fillId="0" borderId="11" xfId="0" applyNumberFormat="1" applyFont="1" applyBorder="1" applyAlignment="1">
      <alignment/>
    </xf>
    <xf numFmtId="38" fontId="4" fillId="37" borderId="16" xfId="0" applyNumberFormat="1" applyFont="1" applyFill="1" applyBorder="1" applyAlignment="1">
      <alignment/>
    </xf>
    <xf numFmtId="38" fontId="4" fillId="37" borderId="18" xfId="0" applyNumberFormat="1" applyFont="1" applyFill="1" applyBorder="1" applyAlignment="1">
      <alignment/>
    </xf>
    <xf numFmtId="38" fontId="4" fillId="37" borderId="17" xfId="0" applyNumberFormat="1" applyFont="1" applyFill="1" applyBorder="1" applyAlignment="1">
      <alignment/>
    </xf>
    <xf numFmtId="171" fontId="4" fillId="34" borderId="11" xfId="0" applyNumberFormat="1" applyFont="1" applyFill="1" applyBorder="1" applyAlignment="1">
      <alignment horizontal="center"/>
    </xf>
    <xf numFmtId="171" fontId="4" fillId="34" borderId="12" xfId="0" applyNumberFormat="1" applyFont="1" applyFill="1" applyBorder="1" applyAlignment="1">
      <alignment horizontal="center"/>
    </xf>
    <xf numFmtId="164" fontId="4" fillId="34" borderId="11" xfId="0" applyNumberFormat="1" applyFont="1" applyFill="1" applyBorder="1" applyAlignment="1">
      <alignment horizontal="center"/>
    </xf>
    <xf numFmtId="164" fontId="4" fillId="34" borderId="13" xfId="0" applyNumberFormat="1" applyFont="1" applyFill="1" applyBorder="1" applyAlignment="1">
      <alignment horizontal="center"/>
    </xf>
    <xf numFmtId="0" fontId="4" fillId="0" borderId="0" xfId="0" applyFont="1" applyAlignment="1">
      <alignment horizontal="left" indent="1"/>
    </xf>
    <xf numFmtId="0" fontId="0" fillId="33" borderId="13" xfId="0" applyFill="1" applyBorder="1" applyAlignment="1">
      <alignment horizontal="center"/>
    </xf>
    <xf numFmtId="0" fontId="0" fillId="34" borderId="13" xfId="0" applyFill="1" applyBorder="1" applyAlignment="1">
      <alignment horizontal="center"/>
    </xf>
    <xf numFmtId="0" fontId="0" fillId="0" borderId="19" xfId="0" applyBorder="1" applyAlignment="1">
      <alignment horizontal="center"/>
    </xf>
    <xf numFmtId="38" fontId="4" fillId="37" borderId="12" xfId="0" applyNumberFormat="1" applyFont="1" applyFill="1" applyBorder="1" applyAlignment="1">
      <alignment/>
    </xf>
    <xf numFmtId="38" fontId="4" fillId="37" borderId="13" xfId="0" applyNumberFormat="1" applyFont="1" applyFill="1" applyBorder="1" applyAlignment="1">
      <alignment/>
    </xf>
    <xf numFmtId="38" fontId="4" fillId="0" borderId="11" xfId="0" applyNumberFormat="1" applyFont="1" applyFill="1" applyBorder="1" applyAlignment="1">
      <alignment/>
    </xf>
    <xf numFmtId="0" fontId="0" fillId="37" borderId="14" xfId="0" applyFill="1" applyBorder="1" applyAlignment="1">
      <alignment/>
    </xf>
    <xf numFmtId="38" fontId="4" fillId="37" borderId="20" xfId="0" applyNumberFormat="1" applyFont="1" applyFill="1" applyBorder="1" applyAlignment="1">
      <alignment/>
    </xf>
    <xf numFmtId="38" fontId="4" fillId="37" borderId="15" xfId="0" applyNumberFormat="1" applyFont="1" applyFill="1" applyBorder="1" applyAlignment="1">
      <alignment/>
    </xf>
    <xf numFmtId="171" fontId="4" fillId="0" borderId="11" xfId="0" applyNumberFormat="1" applyFont="1" applyBorder="1" applyAlignment="1">
      <alignment horizontal="center"/>
    </xf>
    <xf numFmtId="38" fontId="4" fillId="37" borderId="0" xfId="0" applyNumberFormat="1" applyFont="1" applyFill="1" applyAlignment="1">
      <alignment/>
    </xf>
    <xf numFmtId="164" fontId="4" fillId="0" borderId="11" xfId="0" applyNumberFormat="1" applyFont="1" applyBorder="1" applyAlignment="1">
      <alignment horizontal="center"/>
    </xf>
    <xf numFmtId="0" fontId="70" fillId="38" borderId="13" xfId="0" applyFont="1" applyFill="1" applyBorder="1" applyAlignment="1">
      <alignment/>
    </xf>
    <xf numFmtId="6" fontId="4" fillId="0" borderId="11" xfId="0" applyNumberFormat="1" applyFont="1" applyBorder="1" applyAlignment="1">
      <alignment/>
    </xf>
    <xf numFmtId="8" fontId="4" fillId="0" borderId="11" xfId="0" applyNumberFormat="1" applyFont="1" applyBorder="1" applyAlignment="1">
      <alignment/>
    </xf>
    <xf numFmtId="38" fontId="4" fillId="34" borderId="12" xfId="0" applyNumberFormat="1" applyFont="1" applyFill="1" applyBorder="1" applyAlignment="1">
      <alignment horizontal="left" indent="1"/>
    </xf>
    <xf numFmtId="38" fontId="4" fillId="34" borderId="13" xfId="0" applyNumberFormat="1" applyFont="1" applyFill="1" applyBorder="1" applyAlignment="1">
      <alignment/>
    </xf>
    <xf numFmtId="164" fontId="4" fillId="0" borderId="11" xfId="0" applyNumberFormat="1" applyFont="1" applyBorder="1" applyAlignment="1">
      <alignment/>
    </xf>
    <xf numFmtId="38" fontId="4" fillId="37" borderId="0" xfId="0" applyNumberFormat="1" applyFont="1" applyFill="1" applyBorder="1" applyAlignment="1">
      <alignment/>
    </xf>
    <xf numFmtId="0" fontId="4" fillId="37" borderId="19" xfId="0" applyFont="1" applyFill="1" applyBorder="1" applyAlignment="1">
      <alignment/>
    </xf>
    <xf numFmtId="38" fontId="4" fillId="37" borderId="21" xfId="0" applyNumberFormat="1" applyFont="1" applyFill="1" applyBorder="1" applyAlignment="1">
      <alignment/>
    </xf>
    <xf numFmtId="38" fontId="4" fillId="37" borderId="14" xfId="0" applyNumberFormat="1" applyFont="1" applyFill="1" applyBorder="1" applyAlignment="1">
      <alignment/>
    </xf>
    <xf numFmtId="0" fontId="4" fillId="37" borderId="20" xfId="0" applyFont="1" applyFill="1" applyBorder="1" applyAlignment="1">
      <alignment/>
    </xf>
    <xf numFmtId="0" fontId="71" fillId="0" borderId="0" xfId="0" applyFont="1" applyAlignment="1">
      <alignment/>
    </xf>
    <xf numFmtId="0" fontId="72" fillId="0" borderId="0" xfId="0" applyFont="1" applyAlignment="1">
      <alignment/>
    </xf>
    <xf numFmtId="0" fontId="5" fillId="0" borderId="0" xfId="0" applyFont="1" applyAlignment="1">
      <alignment horizontal="center"/>
    </xf>
    <xf numFmtId="10" fontId="4" fillId="0" borderId="0" xfId="0" applyNumberFormat="1" applyFont="1" applyAlignment="1">
      <alignment/>
    </xf>
    <xf numFmtId="0" fontId="0" fillId="0" borderId="22" xfId="0" applyBorder="1" applyAlignment="1">
      <alignment/>
    </xf>
    <xf numFmtId="38" fontId="4" fillId="0" borderId="22" xfId="0" applyNumberFormat="1" applyFont="1" applyBorder="1" applyAlignment="1">
      <alignment/>
    </xf>
    <xf numFmtId="0" fontId="4" fillId="37" borderId="10" xfId="0" applyFont="1" applyFill="1" applyBorder="1" applyAlignment="1">
      <alignment/>
    </xf>
    <xf numFmtId="10" fontId="4" fillId="33" borderId="11" xfId="0" applyNumberFormat="1" applyFont="1" applyFill="1" applyBorder="1" applyAlignment="1">
      <alignment/>
    </xf>
    <xf numFmtId="38" fontId="4" fillId="0" borderId="0" xfId="0" applyNumberFormat="1" applyFont="1" applyBorder="1" applyAlignment="1">
      <alignment/>
    </xf>
    <xf numFmtId="0" fontId="73" fillId="0" borderId="0" xfId="0" applyFont="1" applyAlignment="1">
      <alignment/>
    </xf>
    <xf numFmtId="10" fontId="4" fillId="0" borderId="11" xfId="0" applyNumberFormat="1" applyFont="1" applyBorder="1" applyAlignment="1">
      <alignment horizontal="right"/>
    </xf>
    <xf numFmtId="0" fontId="5" fillId="34" borderId="11" xfId="0" applyFont="1" applyFill="1" applyBorder="1" applyAlignment="1">
      <alignment horizontal="center"/>
    </xf>
    <xf numFmtId="0" fontId="4" fillId="37" borderId="21" xfId="0" applyFont="1" applyFill="1" applyBorder="1" applyAlignment="1">
      <alignment/>
    </xf>
    <xf numFmtId="10" fontId="4" fillId="37" borderId="0" xfId="0" applyNumberFormat="1" applyFont="1" applyFill="1" applyBorder="1" applyAlignment="1">
      <alignment/>
    </xf>
    <xf numFmtId="10" fontId="4" fillId="37" borderId="19" xfId="0" applyNumberFormat="1" applyFont="1" applyFill="1" applyBorder="1" applyAlignment="1">
      <alignment/>
    </xf>
    <xf numFmtId="10" fontId="5" fillId="39" borderId="13" xfId="0" applyNumberFormat="1" applyFont="1" applyFill="1" applyBorder="1" applyAlignment="1">
      <alignment horizontal="center"/>
    </xf>
    <xf numFmtId="0" fontId="4" fillId="34" borderId="10" xfId="0" applyFont="1" applyFill="1" applyBorder="1" applyAlignment="1">
      <alignment/>
    </xf>
    <xf numFmtId="10" fontId="4" fillId="34" borderId="10" xfId="0" applyNumberFormat="1" applyFont="1" applyFill="1" applyBorder="1" applyAlignment="1">
      <alignment/>
    </xf>
    <xf numFmtId="10" fontId="4" fillId="34" borderId="13" xfId="0" applyNumberFormat="1" applyFont="1" applyFill="1" applyBorder="1" applyAlignment="1">
      <alignment/>
    </xf>
    <xf numFmtId="0" fontId="5" fillId="33" borderId="16" xfId="0" applyFont="1" applyFill="1" applyBorder="1" applyAlignment="1">
      <alignment horizontal="center"/>
    </xf>
    <xf numFmtId="0" fontId="5" fillId="33" borderId="17" xfId="0" applyFont="1" applyFill="1" applyBorder="1" applyAlignment="1">
      <alignment horizontal="center"/>
    </xf>
    <xf numFmtId="38" fontId="5" fillId="33" borderId="12" xfId="0" applyNumberFormat="1" applyFont="1" applyFill="1" applyBorder="1" applyAlignment="1">
      <alignment/>
    </xf>
    <xf numFmtId="38" fontId="5" fillId="33" borderId="13" xfId="0" applyNumberFormat="1" applyFont="1" applyFill="1" applyBorder="1" applyAlignment="1">
      <alignment/>
    </xf>
    <xf numFmtId="0" fontId="5" fillId="33" borderId="12" xfId="0" applyFont="1" applyFill="1" applyBorder="1" applyAlignment="1">
      <alignment/>
    </xf>
    <xf numFmtId="40" fontId="4" fillId="33" borderId="11" xfId="0" applyNumberFormat="1" applyFont="1" applyFill="1" applyBorder="1" applyAlignment="1">
      <alignment/>
    </xf>
    <xf numFmtId="6" fontId="4" fillId="0" borderId="0" xfId="0" applyNumberFormat="1" applyFont="1" applyFill="1" applyBorder="1" applyAlignment="1">
      <alignment/>
    </xf>
    <xf numFmtId="0" fontId="4" fillId="0" borderId="0" xfId="0" applyFont="1" applyFill="1" applyAlignment="1">
      <alignment horizontal="left" indent="1"/>
    </xf>
    <xf numFmtId="0" fontId="0" fillId="0" borderId="12" xfId="0" applyFont="1" applyBorder="1" applyAlignment="1">
      <alignment horizontal="center"/>
    </xf>
    <xf numFmtId="8" fontId="71" fillId="40" borderId="11" xfId="0" applyNumberFormat="1" applyFont="1" applyFill="1" applyBorder="1" applyAlignment="1">
      <alignment/>
    </xf>
    <xf numFmtId="10" fontId="71" fillId="40" borderId="13" xfId="0" applyNumberFormat="1" applyFont="1" applyFill="1" applyBorder="1" applyAlignment="1">
      <alignment/>
    </xf>
    <xf numFmtId="38" fontId="71" fillId="40" borderId="11" xfId="0" applyNumberFormat="1" applyFont="1" applyFill="1" applyBorder="1" applyAlignment="1">
      <alignment/>
    </xf>
    <xf numFmtId="6" fontId="71" fillId="40" borderId="11" xfId="0" applyNumberFormat="1" applyFont="1" applyFill="1" applyBorder="1" applyAlignment="1">
      <alignment/>
    </xf>
    <xf numFmtId="6" fontId="71" fillId="40" borderId="17" xfId="0" applyNumberFormat="1" applyFont="1" applyFill="1" applyBorder="1" applyAlignment="1">
      <alignment/>
    </xf>
    <xf numFmtId="10" fontId="71" fillId="40" borderId="11" xfId="0" applyNumberFormat="1" applyFont="1" applyFill="1" applyBorder="1" applyAlignment="1">
      <alignment/>
    </xf>
    <xf numFmtId="0" fontId="71" fillId="40" borderId="11" xfId="0" applyNumberFormat="1" applyFont="1" applyFill="1" applyBorder="1" applyAlignment="1">
      <alignment horizontal="right"/>
    </xf>
    <xf numFmtId="0" fontId="71" fillId="40" borderId="11" xfId="0" applyFont="1" applyFill="1" applyBorder="1" applyAlignment="1">
      <alignment/>
    </xf>
    <xf numFmtId="6" fontId="71" fillId="40" borderId="13" xfId="0" applyNumberFormat="1" applyFont="1" applyFill="1" applyBorder="1" applyAlignment="1">
      <alignment/>
    </xf>
    <xf numFmtId="0" fontId="71" fillId="40" borderId="11" xfId="0" applyNumberFormat="1" applyFont="1" applyFill="1" applyBorder="1" applyAlignment="1">
      <alignment/>
    </xf>
    <xf numFmtId="171" fontId="71" fillId="40" borderId="11" xfId="0" applyNumberFormat="1" applyFont="1" applyFill="1" applyBorder="1" applyAlignment="1">
      <alignment horizontal="right"/>
    </xf>
    <xf numFmtId="0" fontId="71" fillId="40" borderId="13" xfId="0" applyFont="1" applyFill="1" applyBorder="1" applyAlignment="1">
      <alignment horizontal="right"/>
    </xf>
    <xf numFmtId="0" fontId="4" fillId="0" borderId="0" xfId="0" applyFont="1" applyFill="1" applyAlignment="1">
      <alignment/>
    </xf>
    <xf numFmtId="0" fontId="6" fillId="0" borderId="0" xfId="0" applyFont="1" applyAlignment="1">
      <alignment horizontal="center"/>
    </xf>
    <xf numFmtId="0" fontId="0" fillId="0" borderId="10" xfId="0" applyFont="1" applyBorder="1" applyAlignment="1">
      <alignment horizontal="center"/>
    </xf>
    <xf numFmtId="0" fontId="4" fillId="0" borderId="0" xfId="0" applyFont="1" applyAlignment="1">
      <alignment horizontal="left"/>
    </xf>
    <xf numFmtId="0" fontId="7" fillId="0" borderId="0" xfId="0" applyFont="1" applyAlignment="1">
      <alignment horizontal="left"/>
    </xf>
    <xf numFmtId="38" fontId="68" fillId="0" borderId="0" xfId="0" applyNumberFormat="1" applyFont="1" applyFill="1" applyAlignment="1">
      <alignment/>
    </xf>
    <xf numFmtId="38" fontId="4" fillId="0" borderId="0" xfId="0" applyNumberFormat="1" applyFont="1" applyFill="1" applyAlignment="1">
      <alignment/>
    </xf>
    <xf numFmtId="38" fontId="71" fillId="40" borderId="0" xfId="0" applyNumberFormat="1" applyFont="1" applyFill="1" applyAlignment="1">
      <alignment/>
    </xf>
    <xf numFmtId="38" fontId="71" fillId="0" borderId="0" xfId="0" applyNumberFormat="1" applyFont="1" applyAlignment="1">
      <alignment/>
    </xf>
    <xf numFmtId="0" fontId="74" fillId="0" borderId="0" xfId="0" applyFont="1" applyAlignment="1">
      <alignment/>
    </xf>
    <xf numFmtId="0" fontId="4" fillId="0" borderId="19" xfId="0" applyFont="1" applyBorder="1" applyAlignment="1">
      <alignment horizontal="center"/>
    </xf>
    <xf numFmtId="0" fontId="4" fillId="33" borderId="13" xfId="0" applyFont="1" applyFill="1" applyBorder="1" applyAlignment="1">
      <alignment horizontal="center"/>
    </xf>
    <xf numFmtId="0" fontId="4" fillId="33" borderId="11" xfId="0" applyFont="1" applyFill="1" applyBorder="1" applyAlignment="1">
      <alignment horizontal="center"/>
    </xf>
    <xf numFmtId="0" fontId="4" fillId="34" borderId="13" xfId="0" applyFont="1" applyFill="1" applyBorder="1" applyAlignment="1">
      <alignment horizontal="center"/>
    </xf>
    <xf numFmtId="0" fontId="4" fillId="34" borderId="11" xfId="0" applyFont="1" applyFill="1" applyBorder="1" applyAlignment="1">
      <alignment horizontal="center"/>
    </xf>
    <xf numFmtId="6" fontId="4" fillId="34" borderId="11" xfId="0" applyNumberFormat="1" applyFont="1" applyFill="1" applyBorder="1" applyAlignment="1">
      <alignment/>
    </xf>
    <xf numFmtId="38" fontId="4" fillId="0" borderId="0" xfId="0" applyNumberFormat="1" applyFont="1" applyAlignment="1">
      <alignment horizontal="left"/>
    </xf>
    <xf numFmtId="38" fontId="4" fillId="0" borderId="0" xfId="0" applyNumberFormat="1" applyFont="1" applyAlignment="1">
      <alignment horizontal="left" indent="1"/>
    </xf>
    <xf numFmtId="0" fontId="4" fillId="0" borderId="0" xfId="0" applyFont="1" applyFill="1" applyBorder="1" applyAlignment="1">
      <alignment horizontal="center"/>
    </xf>
    <xf numFmtId="38" fontId="4" fillId="34" borderId="11" xfId="0" applyNumberFormat="1" applyFont="1" applyFill="1" applyBorder="1" applyAlignment="1">
      <alignment/>
    </xf>
    <xf numFmtId="38" fontId="4" fillId="0" borderId="10" xfId="0" applyNumberFormat="1" applyFont="1" applyBorder="1" applyAlignment="1">
      <alignment horizontal="right"/>
    </xf>
    <xf numFmtId="38" fontId="4" fillId="0" borderId="10" xfId="0" applyNumberFormat="1" applyFont="1" applyBorder="1" applyAlignment="1">
      <alignment horizontal="center"/>
    </xf>
    <xf numFmtId="0" fontId="5" fillId="0" borderId="0" xfId="0" applyFont="1" applyAlignment="1">
      <alignment horizontal="left"/>
    </xf>
    <xf numFmtId="6" fontId="71" fillId="40" borderId="0" xfId="0" applyNumberFormat="1" applyFont="1" applyFill="1" applyAlignment="1">
      <alignment horizontal="center"/>
    </xf>
    <xf numFmtId="38" fontId="71" fillId="40" borderId="0" xfId="0" applyNumberFormat="1" applyFont="1" applyFill="1" applyAlignment="1">
      <alignment horizontal="center"/>
    </xf>
    <xf numFmtId="0" fontId="8" fillId="0" borderId="0" xfId="0" applyFont="1" applyAlignment="1">
      <alignment horizontal="center"/>
    </xf>
    <xf numFmtId="0" fontId="9" fillId="0" borderId="0" xfId="0" applyFont="1" applyAlignment="1">
      <alignment horizontal="center"/>
    </xf>
    <xf numFmtId="38" fontId="8" fillId="0" borderId="0" xfId="0" applyNumberFormat="1" applyFont="1" applyAlignment="1">
      <alignment horizontal="center"/>
    </xf>
    <xf numFmtId="6" fontId="4" fillId="0" borderId="0" xfId="0" applyNumberFormat="1" applyFont="1" applyAlignment="1">
      <alignment horizontal="center"/>
    </xf>
    <xf numFmtId="0" fontId="68" fillId="0" borderId="0" xfId="0" applyFont="1" applyAlignment="1">
      <alignment horizontal="left" indent="1"/>
    </xf>
    <xf numFmtId="38" fontId="68" fillId="0" borderId="0" xfId="0" applyNumberFormat="1" applyFont="1" applyAlignment="1">
      <alignment horizontal="left"/>
    </xf>
    <xf numFmtId="0" fontId="4" fillId="0" borderId="22" xfId="0" applyFont="1" applyBorder="1" applyAlignment="1">
      <alignment horizontal="left"/>
    </xf>
    <xf numFmtId="38" fontId="4" fillId="0" borderId="22" xfId="0" applyNumberFormat="1" applyFont="1" applyBorder="1" applyAlignment="1">
      <alignment horizontal="left"/>
    </xf>
    <xf numFmtId="0" fontId="75" fillId="0" borderId="0" xfId="0" applyFont="1" applyFill="1" applyAlignment="1">
      <alignment/>
    </xf>
    <xf numFmtId="0" fontId="71" fillId="40" borderId="11" xfId="0" applyFont="1" applyFill="1" applyBorder="1" applyAlignment="1">
      <alignment horizontal="center"/>
    </xf>
    <xf numFmtId="38" fontId="0" fillId="0" borderId="0" xfId="0" applyNumberFormat="1" applyFont="1" applyFill="1" applyAlignment="1">
      <alignment horizontal="center"/>
    </xf>
    <xf numFmtId="0" fontId="75" fillId="0" borderId="0" xfId="0" applyFont="1" applyAlignment="1">
      <alignment/>
    </xf>
    <xf numFmtId="0" fontId="10" fillId="0" borderId="0" xfId="0" applyFont="1" applyAlignment="1">
      <alignment/>
    </xf>
    <xf numFmtId="41" fontId="0" fillId="0" borderId="0" xfId="0" applyNumberFormat="1" applyAlignment="1">
      <alignment/>
    </xf>
    <xf numFmtId="0" fontId="6" fillId="0" borderId="0" xfId="0" applyFont="1" applyAlignment="1">
      <alignment/>
    </xf>
    <xf numFmtId="41" fontId="6" fillId="0" borderId="0" xfId="0" applyNumberFormat="1" applyFont="1" applyAlignment="1">
      <alignment/>
    </xf>
    <xf numFmtId="41" fontId="11" fillId="0" borderId="0" xfId="0" applyNumberFormat="1" applyFont="1" applyAlignment="1">
      <alignment/>
    </xf>
    <xf numFmtId="41" fontId="6" fillId="0" borderId="0" xfId="0" applyNumberFormat="1" applyFont="1" applyAlignment="1">
      <alignment horizontal="center"/>
    </xf>
    <xf numFmtId="0" fontId="11" fillId="0" borderId="0" xfId="0" applyFont="1" applyAlignment="1">
      <alignment/>
    </xf>
    <xf numFmtId="0" fontId="76" fillId="0" borderId="0" xfId="0" applyFont="1" applyAlignment="1">
      <alignment/>
    </xf>
    <xf numFmtId="38" fontId="1" fillId="0" borderId="0" xfId="0" applyNumberFormat="1" applyFont="1" applyAlignment="1">
      <alignment/>
    </xf>
    <xf numFmtId="38" fontId="0" fillId="0" borderId="0" xfId="0" applyNumberFormat="1" applyFont="1" applyAlignment="1">
      <alignment/>
    </xf>
    <xf numFmtId="41" fontId="6" fillId="0" borderId="0" xfId="0" applyNumberFormat="1" applyFont="1" applyFill="1" applyAlignment="1">
      <alignment/>
    </xf>
    <xf numFmtId="0" fontId="6" fillId="0" borderId="0" xfId="0" applyFont="1" applyFill="1" applyAlignment="1">
      <alignment/>
    </xf>
    <xf numFmtId="41" fontId="11" fillId="0" borderId="0" xfId="0" applyNumberFormat="1" applyFont="1" applyFill="1" applyAlignment="1">
      <alignment/>
    </xf>
    <xf numFmtId="0" fontId="69" fillId="0" borderId="0" xfId="0" applyFont="1" applyAlignment="1">
      <alignment horizontal="left" indent="2"/>
    </xf>
    <xf numFmtId="38" fontId="0" fillId="0" borderId="0" xfId="0" applyNumberFormat="1" applyFill="1" applyAlignment="1">
      <alignment/>
    </xf>
    <xf numFmtId="38" fontId="0" fillId="0" borderId="22" xfId="0" applyNumberFormat="1" applyFill="1" applyBorder="1" applyAlignment="1">
      <alignment/>
    </xf>
    <xf numFmtId="38" fontId="4" fillId="0" borderId="22" xfId="0" applyNumberFormat="1" applyFont="1" applyFill="1" applyBorder="1" applyAlignment="1">
      <alignment horizontal="right"/>
    </xf>
    <xf numFmtId="38" fontId="5" fillId="0" borderId="10" xfId="0" applyNumberFormat="1" applyFont="1" applyBorder="1" applyAlignment="1">
      <alignment/>
    </xf>
    <xf numFmtId="10" fontId="77" fillId="40" borderId="11" xfId="0" applyNumberFormat="1" applyFont="1" applyFill="1" applyBorder="1" applyAlignment="1">
      <alignment/>
    </xf>
    <xf numFmtId="4" fontId="77" fillId="40" borderId="11" xfId="0" applyNumberFormat="1" applyFont="1" applyFill="1" applyBorder="1" applyAlignment="1">
      <alignment/>
    </xf>
    <xf numFmtId="0" fontId="77" fillId="40" borderId="11" xfId="0" applyFont="1" applyFill="1" applyBorder="1" applyAlignment="1">
      <alignment horizontal="center"/>
    </xf>
    <xf numFmtId="10" fontId="77" fillId="40" borderId="11" xfId="0" applyNumberFormat="1" applyFont="1" applyFill="1" applyBorder="1" applyAlignment="1">
      <alignment horizontal="center"/>
    </xf>
    <xf numFmtId="0" fontId="0" fillId="0" borderId="0" xfId="0" applyBorder="1" applyAlignment="1">
      <alignment/>
    </xf>
    <xf numFmtId="0" fontId="75" fillId="0" borderId="0" xfId="0" applyFont="1" applyBorder="1" applyAlignment="1">
      <alignment/>
    </xf>
    <xf numFmtId="0" fontId="7" fillId="0" borderId="0" xfId="0" applyFont="1" applyAlignment="1">
      <alignment/>
    </xf>
    <xf numFmtId="38" fontId="5" fillId="0" borderId="0" xfId="0" applyNumberFormat="1" applyFont="1" applyFill="1" applyBorder="1" applyAlignment="1">
      <alignment/>
    </xf>
    <xf numFmtId="164" fontId="12" fillId="40" borderId="11" xfId="0" applyNumberFormat="1" applyFont="1" applyFill="1" applyBorder="1" applyAlignment="1">
      <alignment horizontal="right"/>
    </xf>
    <xf numFmtId="171" fontId="12" fillId="40" borderId="17" xfId="0" applyNumberFormat="1" applyFont="1" applyFill="1" applyBorder="1" applyAlignment="1">
      <alignment horizontal="right"/>
    </xf>
    <xf numFmtId="6" fontId="4" fillId="33" borderId="11" xfId="0" applyNumberFormat="1" applyFont="1" applyFill="1" applyBorder="1" applyAlignment="1">
      <alignment horizontal="right"/>
    </xf>
    <xf numFmtId="10" fontId="4" fillId="0" borderId="0" xfId="0" applyNumberFormat="1" applyFont="1" applyFill="1" applyBorder="1" applyAlignment="1">
      <alignment horizontal="center"/>
    </xf>
    <xf numFmtId="0" fontId="5" fillId="33" borderId="11" xfId="0" applyFont="1" applyFill="1" applyBorder="1" applyAlignment="1">
      <alignment horizontal="center"/>
    </xf>
    <xf numFmtId="0" fontId="4" fillId="0" borderId="11" xfId="0" applyFont="1" applyBorder="1" applyAlignment="1">
      <alignment horizontal="center"/>
    </xf>
    <xf numFmtId="10" fontId="4" fillId="0" borderId="0" xfId="0" applyNumberFormat="1" applyFont="1" applyFill="1" applyAlignment="1">
      <alignment horizontal="center"/>
    </xf>
    <xf numFmtId="0" fontId="4" fillId="34" borderId="23" xfId="0" applyFont="1" applyFill="1" applyBorder="1" applyAlignment="1">
      <alignment/>
    </xf>
    <xf numFmtId="41" fontId="4" fillId="0" borderId="0" xfId="0" applyNumberFormat="1" applyFont="1" applyAlignment="1">
      <alignment/>
    </xf>
    <xf numFmtId="0" fontId="4" fillId="34" borderId="13" xfId="0" applyFont="1" applyFill="1" applyBorder="1" applyAlignment="1">
      <alignment horizontal="center"/>
    </xf>
    <xf numFmtId="0" fontId="5" fillId="33" borderId="11" xfId="0" applyFont="1" applyFill="1" applyBorder="1" applyAlignment="1">
      <alignment horizontal="center"/>
    </xf>
    <xf numFmtId="0" fontId="7" fillId="33" borderId="11" xfId="0" applyFont="1" applyFill="1" applyBorder="1" applyAlignment="1">
      <alignment horizontal="center"/>
    </xf>
    <xf numFmtId="0" fontId="13" fillId="33" borderId="11" xfId="0" applyFont="1" applyFill="1" applyBorder="1" applyAlignment="1">
      <alignment horizontal="center"/>
    </xf>
    <xf numFmtId="10" fontId="4" fillId="0" borderId="11" xfId="0" applyNumberFormat="1" applyFont="1" applyBorder="1" applyAlignment="1">
      <alignment/>
    </xf>
    <xf numFmtId="38" fontId="4" fillId="0" borderId="11" xfId="0" applyNumberFormat="1" applyFont="1" applyBorder="1" applyAlignment="1">
      <alignment horizontal="right"/>
    </xf>
    <xf numFmtId="38" fontId="4" fillId="37" borderId="19" xfId="0" applyNumberFormat="1" applyFont="1" applyFill="1" applyBorder="1" applyAlignment="1">
      <alignment/>
    </xf>
    <xf numFmtId="0" fontId="5" fillId="41" borderId="11" xfId="0" applyFont="1" applyFill="1" applyBorder="1" applyAlignment="1">
      <alignment/>
    </xf>
    <xf numFmtId="0" fontId="5" fillId="41" borderId="12" xfId="0" applyFont="1" applyFill="1" applyBorder="1" applyAlignment="1">
      <alignment/>
    </xf>
    <xf numFmtId="0" fontId="4" fillId="41" borderId="10" xfId="0" applyFont="1" applyFill="1" applyBorder="1" applyAlignment="1">
      <alignment/>
    </xf>
    <xf numFmtId="0" fontId="4" fillId="41" borderId="13" xfId="0" applyFont="1" applyFill="1" applyBorder="1" applyAlignment="1">
      <alignment/>
    </xf>
    <xf numFmtId="38" fontId="5" fillId="0" borderId="11"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37" borderId="23" xfId="0" applyFont="1" applyFill="1" applyBorder="1" applyAlignment="1">
      <alignment/>
    </xf>
    <xf numFmtId="10" fontId="5" fillId="39" borderId="12" xfId="0" applyNumberFormat="1" applyFont="1" applyFill="1" applyBorder="1" applyAlignment="1">
      <alignment horizontal="center"/>
    </xf>
    <xf numFmtId="0" fontId="4" fillId="34" borderId="20" xfId="0" applyFont="1" applyFill="1" applyBorder="1" applyAlignment="1">
      <alignment/>
    </xf>
    <xf numFmtId="0" fontId="4" fillId="34" borderId="0" xfId="0" applyFont="1" applyFill="1" applyBorder="1" applyAlignment="1">
      <alignment/>
    </xf>
    <xf numFmtId="0" fontId="4" fillId="37" borderId="11" xfId="0" applyFont="1" applyFill="1" applyBorder="1" applyAlignment="1">
      <alignment/>
    </xf>
    <xf numFmtId="10" fontId="5" fillId="39" borderId="10" xfId="0" applyNumberFormat="1" applyFont="1" applyFill="1" applyBorder="1" applyAlignment="1">
      <alignment horizontal="center"/>
    </xf>
    <xf numFmtId="10" fontId="5" fillId="37" borderId="0" xfId="0" applyNumberFormat="1" applyFont="1" applyFill="1" applyBorder="1" applyAlignment="1">
      <alignment horizontal="center"/>
    </xf>
    <xf numFmtId="0" fontId="5" fillId="41" borderId="24" xfId="0" applyFont="1" applyFill="1" applyBorder="1" applyAlignment="1">
      <alignment/>
    </xf>
    <xf numFmtId="0" fontId="4" fillId="0" borderId="25" xfId="0" applyFont="1" applyBorder="1" applyAlignment="1">
      <alignment/>
    </xf>
    <xf numFmtId="0" fontId="4" fillId="0" borderId="26" xfId="0" applyFont="1" applyBorder="1" applyAlignment="1">
      <alignment horizontal="center"/>
    </xf>
    <xf numFmtId="0" fontId="4" fillId="33" borderId="26" xfId="0" applyFont="1" applyFill="1" applyBorder="1" applyAlignment="1">
      <alignment horizontal="center"/>
    </xf>
    <xf numFmtId="0" fontId="4" fillId="33" borderId="27" xfId="0" applyFont="1" applyFill="1" applyBorder="1" applyAlignment="1">
      <alignment horizontal="center"/>
    </xf>
    <xf numFmtId="0" fontId="4" fillId="37" borderId="28" xfId="0" applyFont="1" applyFill="1" applyBorder="1" applyAlignment="1">
      <alignment/>
    </xf>
    <xf numFmtId="0" fontId="4" fillId="34" borderId="29" xfId="0" applyFont="1" applyFill="1" applyBorder="1" applyAlignment="1">
      <alignment horizontal="center"/>
    </xf>
    <xf numFmtId="10" fontId="4" fillId="37" borderId="0" xfId="0" applyNumberFormat="1" applyFont="1" applyFill="1" applyBorder="1" applyAlignment="1">
      <alignment horizontal="center"/>
    </xf>
    <xf numFmtId="10" fontId="4" fillId="37" borderId="30" xfId="0" applyNumberFormat="1" applyFont="1" applyFill="1" applyBorder="1" applyAlignment="1">
      <alignment horizontal="center"/>
    </xf>
    <xf numFmtId="0" fontId="5" fillId="33" borderId="31" xfId="0" applyFont="1" applyFill="1" applyBorder="1" applyAlignment="1">
      <alignment/>
    </xf>
    <xf numFmtId="38" fontId="4" fillId="37" borderId="32" xfId="0" applyNumberFormat="1" applyFont="1" applyFill="1" applyBorder="1" applyAlignment="1">
      <alignment/>
    </xf>
    <xf numFmtId="38" fontId="4" fillId="0" borderId="29" xfId="0" applyNumberFormat="1" applyFont="1" applyBorder="1" applyAlignment="1">
      <alignment/>
    </xf>
    <xf numFmtId="0" fontId="5" fillId="37" borderId="28" xfId="0" applyFont="1" applyFill="1" applyBorder="1" applyAlignment="1">
      <alignment/>
    </xf>
    <xf numFmtId="38" fontId="4" fillId="37" borderId="30" xfId="0" applyNumberFormat="1" applyFont="1" applyFill="1" applyBorder="1" applyAlignment="1">
      <alignment/>
    </xf>
    <xf numFmtId="38" fontId="4" fillId="0" borderId="29" xfId="0" applyNumberFormat="1" applyFont="1" applyFill="1" applyBorder="1" applyAlignment="1">
      <alignment/>
    </xf>
    <xf numFmtId="10" fontId="5" fillId="39" borderId="33" xfId="0" applyNumberFormat="1" applyFont="1" applyFill="1" applyBorder="1" applyAlignment="1">
      <alignment horizontal="center"/>
    </xf>
    <xf numFmtId="38" fontId="4" fillId="0" borderId="34" xfId="0" applyNumberFormat="1" applyFont="1" applyBorder="1" applyAlignment="1">
      <alignment/>
    </xf>
    <xf numFmtId="38" fontId="4" fillId="0" borderId="35" xfId="0" applyNumberFormat="1" applyFont="1" applyBorder="1" applyAlignment="1">
      <alignment/>
    </xf>
    <xf numFmtId="0" fontId="4" fillId="37" borderId="17" xfId="0" applyFont="1" applyFill="1" applyBorder="1" applyAlignment="1">
      <alignment/>
    </xf>
    <xf numFmtId="0" fontId="4" fillId="37" borderId="16" xfId="0" applyFont="1" applyFill="1" applyBorder="1" applyAlignment="1">
      <alignment/>
    </xf>
    <xf numFmtId="6" fontId="4" fillId="33" borderId="13" xfId="0" applyNumberFormat="1" applyFont="1" applyFill="1" applyBorder="1" applyAlignment="1">
      <alignment/>
    </xf>
    <xf numFmtId="0" fontId="4" fillId="37" borderId="12" xfId="0" applyFont="1" applyFill="1" applyBorder="1" applyAlignment="1">
      <alignment/>
    </xf>
    <xf numFmtId="0" fontId="78" fillId="37" borderId="13" xfId="0" applyFont="1" applyFill="1" applyBorder="1" applyAlignment="1">
      <alignment/>
    </xf>
    <xf numFmtId="38" fontId="4" fillId="34" borderId="21" xfId="0" applyNumberFormat="1" applyFont="1" applyFill="1" applyBorder="1" applyAlignment="1">
      <alignment/>
    </xf>
    <xf numFmtId="38" fontId="4" fillId="34" borderId="0" xfId="0" applyNumberFormat="1" applyFont="1" applyFill="1" applyBorder="1" applyAlignment="1">
      <alignment/>
    </xf>
    <xf numFmtId="38" fontId="4" fillId="34" borderId="12" xfId="0" applyNumberFormat="1" applyFont="1" applyFill="1" applyBorder="1" applyAlignment="1">
      <alignment/>
    </xf>
    <xf numFmtId="0" fontId="4" fillId="37" borderId="36" xfId="0" applyFont="1" applyFill="1" applyBorder="1" applyAlignment="1">
      <alignment/>
    </xf>
    <xf numFmtId="0" fontId="4" fillId="37" borderId="22" xfId="0" applyFont="1" applyFill="1" applyBorder="1" applyAlignment="1">
      <alignment/>
    </xf>
    <xf numFmtId="0" fontId="4" fillId="34" borderId="31" xfId="0" applyFont="1" applyFill="1" applyBorder="1" applyAlignment="1">
      <alignment horizontal="left" indent="1"/>
    </xf>
    <xf numFmtId="0" fontId="5" fillId="34" borderId="31" xfId="0" applyFont="1" applyFill="1" applyBorder="1" applyAlignment="1">
      <alignment/>
    </xf>
    <xf numFmtId="0" fontId="5" fillId="34" borderId="37" xfId="0" applyFont="1" applyFill="1" applyBorder="1" applyAlignment="1">
      <alignment/>
    </xf>
    <xf numFmtId="0" fontId="4" fillId="33" borderId="10" xfId="0" applyFont="1" applyFill="1" applyBorder="1" applyAlignment="1">
      <alignment/>
    </xf>
    <xf numFmtId="0" fontId="4" fillId="34" borderId="12" xfId="0" applyFont="1" applyFill="1" applyBorder="1" applyAlignment="1">
      <alignment horizontal="left" indent="1"/>
    </xf>
    <xf numFmtId="38" fontId="4" fillId="33" borderId="15" xfId="0" applyNumberFormat="1" applyFont="1" applyFill="1" applyBorder="1" applyAlignment="1">
      <alignment/>
    </xf>
    <xf numFmtId="10" fontId="5" fillId="0" borderId="11" xfId="0" applyNumberFormat="1" applyFont="1" applyBorder="1" applyAlignment="1">
      <alignment/>
    </xf>
    <xf numFmtId="0" fontId="5" fillId="33" borderId="14" xfId="0" applyFont="1" applyFill="1" applyBorder="1" applyAlignment="1">
      <alignment/>
    </xf>
    <xf numFmtId="0" fontId="4" fillId="33" borderId="20" xfId="0" applyFont="1" applyFill="1" applyBorder="1" applyAlignment="1">
      <alignment/>
    </xf>
    <xf numFmtId="0" fontId="4" fillId="34" borderId="36" xfId="0" applyFont="1" applyFill="1" applyBorder="1" applyAlignment="1">
      <alignment horizontal="left" indent="1"/>
    </xf>
    <xf numFmtId="0" fontId="4" fillId="34" borderId="14" xfId="0" applyFont="1" applyFill="1" applyBorder="1" applyAlignment="1">
      <alignment horizontal="left" indent="1"/>
    </xf>
    <xf numFmtId="38" fontId="4" fillId="0" borderId="16" xfId="0" applyNumberFormat="1" applyFont="1" applyBorder="1" applyAlignment="1">
      <alignment/>
    </xf>
    <xf numFmtId="10" fontId="4" fillId="0" borderId="16" xfId="0" applyNumberFormat="1" applyFont="1" applyBorder="1" applyAlignment="1">
      <alignment/>
    </xf>
    <xf numFmtId="38" fontId="4" fillId="0" borderId="17" xfId="0" applyNumberFormat="1" applyFont="1" applyBorder="1" applyAlignment="1">
      <alignment/>
    </xf>
    <xf numFmtId="10" fontId="4" fillId="0" borderId="17" xfId="0" applyNumberFormat="1" applyFont="1" applyBorder="1" applyAlignment="1">
      <alignment/>
    </xf>
    <xf numFmtId="10" fontId="4" fillId="34" borderId="11" xfId="0" applyNumberFormat="1" applyFont="1" applyFill="1" applyBorder="1" applyAlignment="1">
      <alignment horizontal="center"/>
    </xf>
    <xf numFmtId="0" fontId="4" fillId="34" borderId="12" xfId="0" applyFont="1" applyFill="1" applyBorder="1" applyAlignment="1">
      <alignment horizontal="left"/>
    </xf>
    <xf numFmtId="0" fontId="4" fillId="34" borderId="21" xfId="0" applyFont="1" applyFill="1" applyBorder="1" applyAlignment="1">
      <alignment horizontal="left" indent="1"/>
    </xf>
    <xf numFmtId="0" fontId="4" fillId="34" borderId="14" xfId="0" applyFont="1" applyFill="1" applyBorder="1" applyAlignment="1">
      <alignment horizontal="left"/>
    </xf>
    <xf numFmtId="0" fontId="4" fillId="34" borderId="19" xfId="0" applyFont="1" applyFill="1" applyBorder="1" applyAlignment="1">
      <alignment/>
    </xf>
    <xf numFmtId="0" fontId="4" fillId="34" borderId="22" xfId="0" applyFont="1" applyFill="1" applyBorder="1" applyAlignment="1">
      <alignment/>
    </xf>
    <xf numFmtId="0" fontId="4" fillId="37" borderId="21" xfId="0" applyFont="1" applyFill="1" applyBorder="1" applyAlignment="1">
      <alignment horizontal="left" indent="1"/>
    </xf>
    <xf numFmtId="40" fontId="4" fillId="0" borderId="11" xfId="0" applyNumberFormat="1" applyFont="1" applyBorder="1" applyAlignment="1">
      <alignment/>
    </xf>
    <xf numFmtId="0" fontId="5" fillId="34" borderId="10" xfId="0" applyFont="1" applyFill="1" applyBorder="1" applyAlignment="1">
      <alignment/>
    </xf>
    <xf numFmtId="0" fontId="5" fillId="34" borderId="13" xfId="0" applyFont="1" applyFill="1" applyBorder="1" applyAlignment="1">
      <alignment/>
    </xf>
    <xf numFmtId="4" fontId="5" fillId="0" borderId="11" xfId="0" applyNumberFormat="1" applyFont="1" applyBorder="1" applyAlignment="1">
      <alignment/>
    </xf>
    <xf numFmtId="2" fontId="5" fillId="0" borderId="11" xfId="0" applyNumberFormat="1" applyFont="1" applyBorder="1" applyAlignment="1">
      <alignment/>
    </xf>
    <xf numFmtId="0" fontId="5" fillId="37" borderId="21" xfId="0" applyFont="1" applyFill="1" applyBorder="1" applyAlignment="1">
      <alignment/>
    </xf>
    <xf numFmtId="8" fontId="4" fillId="37" borderId="19" xfId="0" applyNumberFormat="1" applyFont="1" applyFill="1" applyBorder="1" applyAlignment="1">
      <alignment/>
    </xf>
    <xf numFmtId="4" fontId="4" fillId="37" borderId="19" xfId="0" applyNumberFormat="1" applyFont="1" applyFill="1" applyBorder="1" applyAlignment="1">
      <alignment/>
    </xf>
    <xf numFmtId="41" fontId="4" fillId="0" borderId="0" xfId="0" applyNumberFormat="1" applyFont="1" applyAlignment="1">
      <alignment horizontal="center"/>
    </xf>
    <xf numFmtId="41" fontId="4" fillId="0" borderId="0" xfId="0" applyNumberFormat="1" applyFont="1" applyFill="1" applyAlignment="1">
      <alignment/>
    </xf>
    <xf numFmtId="171" fontId="4" fillId="0" borderId="0" xfId="0" applyNumberFormat="1" applyFont="1" applyAlignment="1">
      <alignment horizontal="center"/>
    </xf>
    <xf numFmtId="165" fontId="4" fillId="0" borderId="0" xfId="0" applyNumberFormat="1" applyFont="1" applyAlignment="1">
      <alignment horizontal="center"/>
    </xf>
    <xf numFmtId="10" fontId="4" fillId="0" borderId="0" xfId="0" applyNumberFormat="1" applyFont="1" applyAlignment="1">
      <alignment horizontal="center"/>
    </xf>
    <xf numFmtId="0" fontId="14" fillId="0" borderId="0" xfId="0" applyFont="1" applyAlignment="1">
      <alignment/>
    </xf>
    <xf numFmtId="171" fontId="4" fillId="0" borderId="11" xfId="0" applyNumberFormat="1" applyFont="1" applyFill="1" applyBorder="1" applyAlignment="1">
      <alignment horizontal="center"/>
    </xf>
    <xf numFmtId="0" fontId="5" fillId="33" borderId="11" xfId="0" applyFont="1" applyFill="1" applyBorder="1" applyAlignment="1">
      <alignment horizontal="center"/>
    </xf>
    <xf numFmtId="0" fontId="5" fillId="37" borderId="0" xfId="0" applyFont="1" applyFill="1" applyBorder="1" applyAlignment="1">
      <alignment/>
    </xf>
    <xf numFmtId="0" fontId="4" fillId="37" borderId="0" xfId="0" applyNumberFormat="1" applyFont="1" applyFill="1" applyBorder="1" applyAlignment="1">
      <alignment/>
    </xf>
    <xf numFmtId="6" fontId="71" fillId="37" borderId="0" xfId="0" applyNumberFormat="1" applyFont="1" applyFill="1" applyBorder="1" applyAlignment="1">
      <alignment/>
    </xf>
    <xf numFmtId="6" fontId="4" fillId="37" borderId="0" xfId="0" applyNumberFormat="1" applyFont="1" applyFill="1" applyBorder="1" applyAlignment="1">
      <alignment/>
    </xf>
    <xf numFmtId="6" fontId="79" fillId="37" borderId="0" xfId="0" applyNumberFormat="1" applyFont="1" applyFill="1" applyBorder="1" applyAlignment="1">
      <alignment/>
    </xf>
    <xf numFmtId="38" fontId="5" fillId="37" borderId="0" xfId="0" applyNumberFormat="1" applyFont="1" applyFill="1" applyBorder="1" applyAlignment="1">
      <alignment horizontal="center"/>
    </xf>
    <xf numFmtId="38" fontId="5" fillId="37" borderId="0" xfId="0" applyNumberFormat="1" applyFont="1" applyFill="1" applyBorder="1" applyAlignment="1">
      <alignment/>
    </xf>
    <xf numFmtId="38" fontId="6" fillId="0" borderId="22" xfId="0" applyNumberFormat="1" applyFont="1" applyFill="1" applyBorder="1" applyAlignment="1">
      <alignment horizontal="center"/>
    </xf>
    <xf numFmtId="38" fontId="4" fillId="0" borderId="22" xfId="0" applyNumberFormat="1" applyFont="1" applyFill="1" applyBorder="1" applyAlignment="1">
      <alignment/>
    </xf>
    <xf numFmtId="38" fontId="4" fillId="0" borderId="10" xfId="0" applyNumberFormat="1" applyFont="1" applyFill="1" applyBorder="1" applyAlignment="1">
      <alignment/>
    </xf>
    <xf numFmtId="0" fontId="6" fillId="0" borderId="14" xfId="0" applyFont="1" applyFill="1" applyBorder="1" applyAlignment="1">
      <alignment horizontal="center"/>
    </xf>
    <xf numFmtId="0" fontId="6" fillId="0" borderId="20" xfId="0" applyFont="1" applyFill="1" applyBorder="1" applyAlignment="1">
      <alignment horizontal="center"/>
    </xf>
    <xf numFmtId="38" fontId="6" fillId="0" borderId="36" xfId="0" applyNumberFormat="1" applyFont="1" applyFill="1" applyBorder="1" applyAlignment="1">
      <alignment horizontal="center"/>
    </xf>
    <xf numFmtId="38" fontId="4" fillId="0" borderId="21" xfId="0" applyNumberFormat="1" applyFont="1" applyFill="1" applyBorder="1" applyAlignment="1">
      <alignment/>
    </xf>
    <xf numFmtId="38" fontId="4" fillId="0" borderId="36" xfId="0" applyNumberFormat="1" applyFont="1" applyFill="1" applyBorder="1" applyAlignment="1">
      <alignment/>
    </xf>
    <xf numFmtId="38" fontId="4" fillId="0" borderId="12" xfId="0" applyNumberFormat="1" applyFont="1" applyFill="1" applyBorder="1" applyAlignment="1">
      <alignment/>
    </xf>
    <xf numFmtId="38" fontId="68" fillId="0" borderId="21" xfId="0" applyNumberFormat="1" applyFont="1" applyFill="1" applyBorder="1" applyAlignment="1">
      <alignment/>
    </xf>
    <xf numFmtId="38" fontId="68" fillId="0" borderId="12" xfId="0" applyNumberFormat="1" applyFont="1" applyFill="1" applyBorder="1" applyAlignment="1">
      <alignment/>
    </xf>
    <xf numFmtId="0" fontId="4" fillId="37" borderId="38" xfId="0" applyFont="1" applyFill="1" applyBorder="1" applyAlignment="1">
      <alignment/>
    </xf>
    <xf numFmtId="0" fontId="4" fillId="37" borderId="25" xfId="0" applyFont="1" applyFill="1" applyBorder="1" applyAlignment="1">
      <alignment/>
    </xf>
    <xf numFmtId="0" fontId="4" fillId="37" borderId="39" xfId="0" applyFont="1" applyFill="1" applyBorder="1" applyAlignment="1">
      <alignment/>
    </xf>
    <xf numFmtId="0" fontId="80" fillId="37" borderId="28" xfId="0" applyFont="1" applyFill="1" applyBorder="1" applyAlignment="1">
      <alignment/>
    </xf>
    <xf numFmtId="0" fontId="4" fillId="37" borderId="30" xfId="0" applyFont="1" applyFill="1" applyBorder="1" applyAlignment="1">
      <alignment/>
    </xf>
    <xf numFmtId="0" fontId="72" fillId="37" borderId="28" xfId="0" applyFont="1" applyFill="1" applyBorder="1" applyAlignment="1">
      <alignment/>
    </xf>
    <xf numFmtId="0" fontId="81" fillId="38" borderId="40" xfId="0" applyFont="1" applyFill="1" applyBorder="1" applyAlignment="1">
      <alignment/>
    </xf>
    <xf numFmtId="0" fontId="4" fillId="37" borderId="40" xfId="0" applyFont="1" applyFill="1" applyBorder="1" applyAlignment="1">
      <alignment/>
    </xf>
    <xf numFmtId="0" fontId="5" fillId="37" borderId="40" xfId="0" applyFont="1" applyFill="1" applyBorder="1" applyAlignment="1">
      <alignment/>
    </xf>
    <xf numFmtId="6" fontId="4" fillId="0" borderId="0" xfId="0" applyNumberFormat="1" applyFont="1" applyBorder="1" applyAlignment="1">
      <alignment/>
    </xf>
    <xf numFmtId="0" fontId="5" fillId="35" borderId="40" xfId="0" applyFont="1" applyFill="1" applyBorder="1" applyAlignment="1">
      <alignment/>
    </xf>
    <xf numFmtId="0" fontId="4" fillId="0" borderId="32" xfId="0" applyFont="1" applyFill="1" applyBorder="1" applyAlignment="1">
      <alignment/>
    </xf>
    <xf numFmtId="0" fontId="5" fillId="33" borderId="40" xfId="0" applyFont="1" applyFill="1" applyBorder="1" applyAlignment="1">
      <alignment/>
    </xf>
    <xf numFmtId="38" fontId="4" fillId="0" borderId="30" xfId="0" applyNumberFormat="1" applyFont="1" applyFill="1" applyBorder="1" applyAlignment="1">
      <alignment/>
    </xf>
    <xf numFmtId="38" fontId="8" fillId="0" borderId="30" xfId="0" applyNumberFormat="1" applyFont="1" applyFill="1" applyBorder="1" applyAlignment="1">
      <alignment horizontal="center"/>
    </xf>
    <xf numFmtId="0" fontId="4" fillId="37" borderId="31" xfId="0" applyFont="1" applyFill="1" applyBorder="1" applyAlignment="1">
      <alignment/>
    </xf>
    <xf numFmtId="38" fontId="71" fillId="0" borderId="30" xfId="0" applyNumberFormat="1" applyFont="1" applyFill="1" applyBorder="1" applyAlignment="1">
      <alignment horizontal="center"/>
    </xf>
    <xf numFmtId="0" fontId="4" fillId="37" borderId="41" xfId="0" applyFont="1" applyFill="1" applyBorder="1" applyAlignment="1">
      <alignment/>
    </xf>
    <xf numFmtId="38" fontId="4" fillId="0" borderId="42" xfId="0" applyNumberFormat="1" applyFont="1" applyFill="1" applyBorder="1" applyAlignment="1">
      <alignment/>
    </xf>
    <xf numFmtId="0" fontId="4" fillId="37" borderId="43" xfId="0" applyFont="1" applyFill="1" applyBorder="1" applyAlignment="1">
      <alignment/>
    </xf>
    <xf numFmtId="0" fontId="5" fillId="37" borderId="44" xfId="0" applyFont="1" applyFill="1" applyBorder="1" applyAlignment="1">
      <alignment/>
    </xf>
    <xf numFmtId="49" fontId="4" fillId="37" borderId="0" xfId="0" applyNumberFormat="1" applyFont="1" applyFill="1" applyBorder="1" applyAlignment="1">
      <alignment/>
    </xf>
    <xf numFmtId="0" fontId="4" fillId="37" borderId="45" xfId="0" applyFont="1" applyFill="1" applyBorder="1" applyAlignment="1">
      <alignment/>
    </xf>
    <xf numFmtId="0" fontId="4" fillId="37" borderId="44" xfId="0" applyFont="1" applyFill="1" applyBorder="1" applyAlignment="1">
      <alignment horizontal="left" indent="1"/>
    </xf>
    <xf numFmtId="0" fontId="4" fillId="37" borderId="28" xfId="0" applyFont="1" applyFill="1" applyBorder="1" applyAlignment="1">
      <alignment horizontal="left" indent="1"/>
    </xf>
    <xf numFmtId="0" fontId="5" fillId="37" borderId="28" xfId="0" applyFont="1" applyFill="1" applyBorder="1" applyAlignment="1">
      <alignment horizontal="left" indent="1"/>
    </xf>
    <xf numFmtId="0" fontId="4" fillId="37" borderId="46" xfId="0" applyFont="1" applyFill="1" applyBorder="1" applyAlignment="1">
      <alignment/>
    </xf>
    <xf numFmtId="0" fontId="4" fillId="37" borderId="47" xfId="0" applyFont="1" applyFill="1" applyBorder="1" applyAlignment="1">
      <alignment/>
    </xf>
    <xf numFmtId="0" fontId="4" fillId="37" borderId="48" xfId="0" applyFont="1" applyFill="1" applyBorder="1" applyAlignment="1">
      <alignment/>
    </xf>
    <xf numFmtId="0" fontId="4" fillId="37" borderId="49" xfId="0" applyFont="1" applyFill="1" applyBorder="1" applyAlignment="1">
      <alignment/>
    </xf>
    <xf numFmtId="0" fontId="71" fillId="40" borderId="34" xfId="0" applyNumberFormat="1" applyFont="1" applyFill="1" applyBorder="1" applyAlignment="1">
      <alignment horizontal="right"/>
    </xf>
    <xf numFmtId="38" fontId="4" fillId="37" borderId="47" xfId="0" applyNumberFormat="1" applyFont="1" applyFill="1" applyBorder="1" applyAlignment="1">
      <alignment/>
    </xf>
    <xf numFmtId="0" fontId="4" fillId="37" borderId="50" xfId="0" applyFont="1" applyFill="1" applyBorder="1" applyAlignment="1">
      <alignment/>
    </xf>
    <xf numFmtId="0" fontId="4" fillId="0" borderId="22" xfId="0" applyFont="1" applyBorder="1" applyAlignment="1">
      <alignment/>
    </xf>
    <xf numFmtId="0" fontId="4" fillId="34" borderId="12" xfId="0" applyFont="1" applyFill="1" applyBorder="1" applyAlignment="1">
      <alignment/>
    </xf>
    <xf numFmtId="0" fontId="4" fillId="37" borderId="0" xfId="0" applyFont="1" applyFill="1" applyBorder="1" applyAlignment="1" quotePrefix="1">
      <alignment/>
    </xf>
    <xf numFmtId="0" fontId="4" fillId="37" borderId="0" xfId="0" applyFont="1" applyFill="1" applyAlignment="1">
      <alignment/>
    </xf>
    <xf numFmtId="0" fontId="5" fillId="33" borderId="12" xfId="0" applyFont="1" applyFill="1" applyBorder="1" applyAlignment="1">
      <alignment horizontal="center"/>
    </xf>
    <xf numFmtId="0" fontId="5" fillId="33" borderId="10" xfId="0" applyFont="1" applyFill="1" applyBorder="1" applyAlignment="1">
      <alignment horizontal="center"/>
    </xf>
    <xf numFmtId="0" fontId="5" fillId="33" borderId="13"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3" xfId="0" applyFont="1" applyFill="1" applyBorder="1" applyAlignment="1">
      <alignment horizontal="center"/>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4" fillId="0" borderId="13"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33" borderId="11" xfId="0" applyFont="1" applyFill="1" applyBorder="1" applyAlignment="1">
      <alignment horizontal="center"/>
    </xf>
    <xf numFmtId="38" fontId="5" fillId="33" borderId="11" xfId="0" applyNumberFormat="1" applyFont="1" applyFill="1" applyBorder="1" applyAlignment="1">
      <alignment horizontal="center"/>
    </xf>
    <xf numFmtId="38" fontId="5" fillId="33" borderId="12" xfId="0" applyNumberFormat="1" applyFont="1" applyFill="1" applyBorder="1" applyAlignment="1">
      <alignment horizontal="center"/>
    </xf>
    <xf numFmtId="38" fontId="5" fillId="33" borderId="10" xfId="0" applyNumberFormat="1" applyFont="1" applyFill="1" applyBorder="1" applyAlignment="1">
      <alignment horizontal="center"/>
    </xf>
    <xf numFmtId="38" fontId="5" fillId="33" borderId="13" xfId="0" applyNumberFormat="1" applyFont="1" applyFill="1" applyBorder="1" applyAlignment="1">
      <alignment horizontal="center"/>
    </xf>
    <xf numFmtId="38" fontId="5" fillId="35" borderId="12" xfId="0" applyNumberFormat="1" applyFont="1" applyFill="1" applyBorder="1" applyAlignment="1">
      <alignment horizontal="center"/>
    </xf>
    <xf numFmtId="38" fontId="5" fillId="35" borderId="10" xfId="0" applyNumberFormat="1" applyFont="1" applyFill="1" applyBorder="1" applyAlignment="1">
      <alignment horizontal="center"/>
    </xf>
    <xf numFmtId="38" fontId="5" fillId="35" borderId="13" xfId="0" applyNumberFormat="1" applyFont="1" applyFill="1" applyBorder="1" applyAlignment="1">
      <alignment horizontal="center"/>
    </xf>
    <xf numFmtId="0" fontId="5" fillId="35" borderId="12" xfId="0" applyFont="1" applyFill="1" applyBorder="1" applyAlignment="1">
      <alignment horizontal="center"/>
    </xf>
    <xf numFmtId="0" fontId="5" fillId="35" borderId="10" xfId="0" applyFont="1" applyFill="1" applyBorder="1" applyAlignment="1">
      <alignment horizontal="center"/>
    </xf>
    <xf numFmtId="0" fontId="5" fillId="35" borderId="20" xfId="0" applyFont="1" applyFill="1" applyBorder="1" applyAlignment="1">
      <alignment horizontal="center"/>
    </xf>
    <xf numFmtId="0" fontId="5" fillId="35" borderId="13" xfId="0" applyFont="1" applyFill="1" applyBorder="1" applyAlignment="1">
      <alignment horizontal="center"/>
    </xf>
    <xf numFmtId="0" fontId="59" fillId="37" borderId="0" xfId="53"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globaliconnect.com/" TargetMode="External" /><Relationship Id="rId3" Type="http://schemas.openxmlformats.org/officeDocument/2006/relationships/hyperlink" Target="http://www.globaliconnect.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876300</xdr:colOff>
      <xdr:row>0</xdr:row>
      <xdr:rowOff>76200</xdr:rowOff>
    </xdr:from>
    <xdr:to>
      <xdr:col>13</xdr:col>
      <xdr:colOff>638175</xdr:colOff>
      <xdr:row>2</xdr:row>
      <xdr:rowOff>0</xdr:rowOff>
    </xdr:to>
    <xdr:pic>
      <xdr:nvPicPr>
        <xdr:cNvPr id="1" name="Picture 1" descr="gic_logo.gif">
          <a:hlinkClick r:id="rId3"/>
        </xdr:cNvPr>
        <xdr:cNvPicPr preferRelativeResize="1">
          <a:picLocks noChangeAspect="1"/>
        </xdr:cNvPicPr>
      </xdr:nvPicPr>
      <xdr:blipFill>
        <a:blip r:embed="rId1"/>
        <a:stretch>
          <a:fillRect/>
        </a:stretch>
      </xdr:blipFill>
      <xdr:spPr>
        <a:xfrm>
          <a:off x="9096375" y="76200"/>
          <a:ext cx="10953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lobaliconnect.com/excel_models.ph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76"/>
  <sheetViews>
    <sheetView tabSelected="1" zoomScalePageLayoutView="0" workbookViewId="0" topLeftCell="A1">
      <selection activeCell="O5" sqref="O5"/>
    </sheetView>
  </sheetViews>
  <sheetFormatPr defaultColWidth="9.140625" defaultRowHeight="12.75"/>
  <cols>
    <col min="1" max="1" width="9.8515625" style="8" customWidth="1"/>
    <col min="2" max="2" width="22.421875" style="8" customWidth="1"/>
    <col min="3" max="3" width="10.8515625" style="8" customWidth="1"/>
    <col min="4" max="4" width="6.7109375" style="8" customWidth="1"/>
    <col min="5" max="5" width="7.421875" style="8" customWidth="1"/>
    <col min="6" max="6" width="3.8515625" style="8" customWidth="1"/>
    <col min="7" max="7" width="11.57421875" style="8" customWidth="1"/>
    <col min="8" max="8" width="11.421875" style="8" customWidth="1"/>
    <col min="9" max="9" width="10.57421875" style="8" customWidth="1"/>
    <col min="10" max="10" width="11.8515625" style="8" customWidth="1"/>
    <col min="11" max="11" width="4.140625" style="8" customWidth="1"/>
    <col min="12" max="12" width="12.57421875" style="8" customWidth="1"/>
    <col min="13" max="13" width="20.00390625" style="8" customWidth="1"/>
    <col min="14" max="14" width="11.57421875" style="8" customWidth="1"/>
    <col min="15" max="15" width="11.7109375" style="8" customWidth="1"/>
    <col min="16" max="16" width="9.140625" style="8" customWidth="1"/>
    <col min="17" max="17" width="9.421875" style="8" bestFit="1" customWidth="1"/>
    <col min="18" max="18" width="9.140625" style="8" customWidth="1"/>
    <col min="19" max="19" width="11.00390625" style="8" customWidth="1"/>
    <col min="20" max="16384" width="9.140625" style="8" customWidth="1"/>
  </cols>
  <sheetData>
    <row r="1" spans="1:19" ht="12">
      <c r="A1" s="308"/>
      <c r="B1" s="309"/>
      <c r="C1" s="309"/>
      <c r="D1" s="309"/>
      <c r="E1" s="309"/>
      <c r="F1" s="309"/>
      <c r="G1" s="309"/>
      <c r="H1" s="309"/>
      <c r="I1" s="309"/>
      <c r="J1" s="309"/>
      <c r="K1" s="309"/>
      <c r="L1" s="309"/>
      <c r="M1" s="309"/>
      <c r="N1" s="309"/>
      <c r="O1" s="309"/>
      <c r="P1" s="309"/>
      <c r="Q1" s="309"/>
      <c r="R1" s="309"/>
      <c r="S1" s="310"/>
    </row>
    <row r="2" spans="1:19" ht="15.75">
      <c r="A2" s="311" t="s">
        <v>167</v>
      </c>
      <c r="B2" s="36"/>
      <c r="C2" s="36"/>
      <c r="D2" s="36"/>
      <c r="E2" s="36"/>
      <c r="F2" s="36"/>
      <c r="G2" s="36"/>
      <c r="H2" s="36"/>
      <c r="I2" s="36"/>
      <c r="J2" s="36"/>
      <c r="K2" s="36"/>
      <c r="L2" s="36"/>
      <c r="M2" s="36"/>
      <c r="N2" s="36"/>
      <c r="O2" s="36"/>
      <c r="P2" s="36"/>
      <c r="Q2" s="36"/>
      <c r="R2" s="36"/>
      <c r="S2" s="312"/>
    </row>
    <row r="3" spans="1:19" ht="12.75">
      <c r="A3" s="229"/>
      <c r="B3" s="36"/>
      <c r="C3" s="36"/>
      <c r="D3" s="36"/>
      <c r="E3" s="36"/>
      <c r="F3" s="36"/>
      <c r="G3" s="36"/>
      <c r="H3" s="36"/>
      <c r="J3" s="36"/>
      <c r="K3" s="36"/>
      <c r="L3" s="370" t="s">
        <v>375</v>
      </c>
      <c r="M3" s="36"/>
      <c r="N3" s="36"/>
      <c r="O3" s="36"/>
      <c r="P3" s="36"/>
      <c r="Q3" s="36"/>
      <c r="R3" s="36"/>
      <c r="S3" s="312"/>
    </row>
    <row r="4" spans="1:19" ht="15">
      <c r="A4" s="313" t="s">
        <v>131</v>
      </c>
      <c r="B4" s="36"/>
      <c r="C4" s="36"/>
      <c r="D4" s="36"/>
      <c r="E4" s="36"/>
      <c r="F4" s="36"/>
      <c r="G4" s="343"/>
      <c r="H4" s="36"/>
      <c r="I4" s="36" t="s">
        <v>376</v>
      </c>
      <c r="J4" s="36"/>
      <c r="K4" s="36"/>
      <c r="L4" s="36"/>
      <c r="M4" s="36"/>
      <c r="N4" s="36"/>
      <c r="O4" s="36"/>
      <c r="P4" s="36"/>
      <c r="Q4" s="36"/>
      <c r="R4" s="36"/>
      <c r="S4" s="312"/>
    </row>
    <row r="5" spans="1:19" ht="12">
      <c r="A5" s="229" t="s">
        <v>374</v>
      </c>
      <c r="B5" s="36"/>
      <c r="C5" s="36"/>
      <c r="D5" s="36"/>
      <c r="E5" s="36"/>
      <c r="F5" s="36"/>
      <c r="H5" s="36"/>
      <c r="I5" s="344"/>
      <c r="J5" s="36"/>
      <c r="K5" s="36"/>
      <c r="L5" s="36"/>
      <c r="M5" s="36"/>
      <c r="N5" s="36"/>
      <c r="O5" s="36"/>
      <c r="P5" s="36"/>
      <c r="Q5" s="36"/>
      <c r="R5" s="36"/>
      <c r="S5" s="312"/>
    </row>
    <row r="6" spans="1:19" ht="12">
      <c r="A6" s="229"/>
      <c r="B6" s="36"/>
      <c r="C6" s="293"/>
      <c r="D6" s="36"/>
      <c r="E6" s="36"/>
      <c r="F6" s="36"/>
      <c r="G6" s="36"/>
      <c r="H6" s="36"/>
      <c r="I6" s="36"/>
      <c r="J6" s="36"/>
      <c r="K6" s="36"/>
      <c r="L6" s="36"/>
      <c r="M6" s="36"/>
      <c r="N6" s="36"/>
      <c r="O6" s="36"/>
      <c r="P6" s="36"/>
      <c r="Q6" s="36"/>
      <c r="R6" s="36"/>
      <c r="S6" s="312"/>
    </row>
    <row r="7" spans="1:19" ht="12">
      <c r="A7" s="314" t="s">
        <v>93</v>
      </c>
      <c r="B7" s="80"/>
      <c r="C7" s="293"/>
      <c r="D7" s="36"/>
      <c r="E7" s="36"/>
      <c r="F7" s="45"/>
      <c r="G7" s="27" t="s">
        <v>98</v>
      </c>
      <c r="H7" s="29"/>
      <c r="I7" s="36"/>
      <c r="J7" s="36"/>
      <c r="K7" s="36"/>
      <c r="L7" s="27" t="s">
        <v>278</v>
      </c>
      <c r="M7" s="28"/>
      <c r="N7" s="36"/>
      <c r="O7" s="36"/>
      <c r="P7" s="36"/>
      <c r="Q7" s="36"/>
      <c r="R7" s="36"/>
      <c r="S7" s="312"/>
    </row>
    <row r="8" spans="1:19" ht="12">
      <c r="A8" s="315" t="s">
        <v>180</v>
      </c>
      <c r="B8" s="42"/>
      <c r="C8" s="119">
        <v>6</v>
      </c>
      <c r="D8" s="36" t="s">
        <v>21</v>
      </c>
      <c r="E8" s="36"/>
      <c r="F8" s="36"/>
      <c r="G8" s="32" t="str">
        <f>A26</f>
        <v>Assumed Debt</v>
      </c>
      <c r="H8" s="33"/>
      <c r="I8" s="295"/>
      <c r="J8" s="36"/>
      <c r="K8" s="36"/>
      <c r="L8" s="34" t="s">
        <v>95</v>
      </c>
      <c r="M8" s="35"/>
      <c r="N8" s="36"/>
      <c r="O8" s="36"/>
      <c r="P8" s="36"/>
      <c r="Q8" s="36"/>
      <c r="R8" s="36"/>
      <c r="S8" s="312"/>
    </row>
    <row r="9" spans="1:19" ht="12">
      <c r="A9" s="315" t="s">
        <v>179</v>
      </c>
      <c r="B9" s="42"/>
      <c r="C9" s="120">
        <v>0.1</v>
      </c>
      <c r="D9" s="36" t="s">
        <v>3</v>
      </c>
      <c r="E9" s="36"/>
      <c r="F9" s="36"/>
      <c r="G9" s="245" t="s">
        <v>57</v>
      </c>
      <c r="H9" s="42"/>
      <c r="I9" s="125">
        <v>9</v>
      </c>
      <c r="J9" s="86" t="s">
        <v>61</v>
      </c>
      <c r="K9" s="36"/>
      <c r="L9" s="37" t="s">
        <v>71</v>
      </c>
      <c r="M9" s="38"/>
      <c r="N9" s="127">
        <v>1100000</v>
      </c>
      <c r="O9" s="36" t="s">
        <v>21</v>
      </c>
      <c r="P9" s="36"/>
      <c r="Q9" s="36"/>
      <c r="R9" s="36"/>
      <c r="S9" s="312"/>
    </row>
    <row r="10" spans="1:19" ht="12">
      <c r="A10" s="315" t="s">
        <v>181</v>
      </c>
      <c r="B10" s="42"/>
      <c r="C10" s="115">
        <f>C8*(1+C9)</f>
        <v>6.6000000000000005</v>
      </c>
      <c r="D10" s="36" t="s">
        <v>21</v>
      </c>
      <c r="E10" s="36"/>
      <c r="F10" s="36"/>
      <c r="G10" s="245" t="s">
        <v>55</v>
      </c>
      <c r="H10" s="42"/>
      <c r="I10" s="44">
        <f>1/assumed_debt_maturity_year</f>
        <v>0.1111111111111111</v>
      </c>
      <c r="J10" s="36" t="s">
        <v>58</v>
      </c>
      <c r="K10" s="36"/>
      <c r="L10" s="37" t="s">
        <v>72</v>
      </c>
      <c r="M10" s="38"/>
      <c r="N10" s="120">
        <v>0.1</v>
      </c>
      <c r="O10" s="36" t="s">
        <v>3</v>
      </c>
      <c r="P10" s="36"/>
      <c r="Q10" s="36"/>
      <c r="R10" s="36"/>
      <c r="S10" s="312"/>
    </row>
    <row r="11" spans="1:19" ht="12">
      <c r="A11" s="315" t="s">
        <v>90</v>
      </c>
      <c r="B11" s="42"/>
      <c r="C11" s="121">
        <v>100000</v>
      </c>
      <c r="D11" s="36" t="s">
        <v>126</v>
      </c>
      <c r="E11" s="36"/>
      <c r="F11" s="36"/>
      <c r="G11" s="245" t="s">
        <v>56</v>
      </c>
      <c r="H11" s="42"/>
      <c r="I11" s="120">
        <v>0.0425</v>
      </c>
      <c r="J11" s="36" t="s">
        <v>59</v>
      </c>
      <c r="K11" s="36"/>
      <c r="L11" s="51" t="s">
        <v>74</v>
      </c>
      <c r="M11" s="52"/>
      <c r="N11" s="120">
        <v>0.45</v>
      </c>
      <c r="O11" s="36" t="s">
        <v>22</v>
      </c>
      <c r="P11" s="36"/>
      <c r="Q11" s="36"/>
      <c r="R11" s="36"/>
      <c r="S11" s="312"/>
    </row>
    <row r="12" spans="1:19" ht="12">
      <c r="A12" s="316" t="s">
        <v>91</v>
      </c>
      <c r="B12" s="42"/>
      <c r="C12" s="40">
        <f>C10*C11</f>
        <v>660000</v>
      </c>
      <c r="D12" s="36" t="s">
        <v>21</v>
      </c>
      <c r="E12" s="36"/>
      <c r="F12" s="36"/>
      <c r="G12" s="245" t="s">
        <v>60</v>
      </c>
      <c r="H12" s="246"/>
      <c r="I12" s="126">
        <v>1</v>
      </c>
      <c r="J12" s="36" t="s">
        <v>197</v>
      </c>
      <c r="K12" s="36"/>
      <c r="L12" s="41" t="str">
        <f>L11&amp;" - Annual Increase"</f>
        <v>Cost of goods sold - Annual Increase</v>
      </c>
      <c r="M12" s="42"/>
      <c r="N12" s="120">
        <v>0.0025</v>
      </c>
      <c r="O12" s="36" t="s">
        <v>68</v>
      </c>
      <c r="P12" s="36"/>
      <c r="Q12" s="36"/>
      <c r="R12" s="36"/>
      <c r="S12" s="312"/>
    </row>
    <row r="13" spans="1:19" ht="12">
      <c r="A13" s="315"/>
      <c r="B13" s="42"/>
      <c r="C13" s="317"/>
      <c r="D13" s="36"/>
      <c r="E13" s="36"/>
      <c r="F13" s="36"/>
      <c r="G13" s="245" t="s">
        <v>300</v>
      </c>
      <c r="H13" s="42"/>
      <c r="I13" s="125">
        <v>1</v>
      </c>
      <c r="J13" s="36" t="s">
        <v>197</v>
      </c>
      <c r="K13" s="36"/>
      <c r="L13" s="30" t="s">
        <v>67</v>
      </c>
      <c r="M13" s="31"/>
      <c r="N13" s="120">
        <v>0.14</v>
      </c>
      <c r="O13" s="36" t="s">
        <v>22</v>
      </c>
      <c r="P13" s="36"/>
      <c r="Q13" s="36"/>
      <c r="R13" s="36"/>
      <c r="S13" s="312"/>
    </row>
    <row r="14" spans="1:19" ht="12">
      <c r="A14" s="315" t="s">
        <v>194</v>
      </c>
      <c r="B14" s="42"/>
      <c r="C14" s="40">
        <f>Bal_Sheet!C46-C15</f>
        <v>185000</v>
      </c>
      <c r="D14" s="36" t="s">
        <v>21</v>
      </c>
      <c r="E14" s="36"/>
      <c r="F14" s="36"/>
      <c r="G14" s="41"/>
      <c r="H14" s="42"/>
      <c r="I14" s="36"/>
      <c r="J14" s="36"/>
      <c r="K14" s="36"/>
      <c r="L14" s="30" t="str">
        <f>L13&amp;" - Annual Increase"</f>
        <v>SG&amp;A expenses - Annual Increase</v>
      </c>
      <c r="M14" s="31"/>
      <c r="N14" s="120">
        <v>0.005</v>
      </c>
      <c r="O14" s="36" t="s">
        <v>68</v>
      </c>
      <c r="P14" s="36"/>
      <c r="Q14" s="36"/>
      <c r="R14" s="36"/>
      <c r="S14" s="312"/>
    </row>
    <row r="15" spans="1:19" ht="12">
      <c r="A15" s="229" t="s">
        <v>191</v>
      </c>
      <c r="B15" s="36"/>
      <c r="C15" s="122">
        <v>65000</v>
      </c>
      <c r="D15" s="36" t="s">
        <v>21</v>
      </c>
      <c r="E15" s="36"/>
      <c r="F15" s="36"/>
      <c r="G15" s="32" t="str">
        <f>A27</f>
        <v>Bank Revolver</v>
      </c>
      <c r="H15" s="33"/>
      <c r="I15" s="295"/>
      <c r="J15" s="36"/>
      <c r="K15" s="36"/>
      <c r="L15" s="41" t="s">
        <v>62</v>
      </c>
      <c r="M15" s="42"/>
      <c r="N15" s="120">
        <v>0.12</v>
      </c>
      <c r="O15" s="36" t="s">
        <v>22</v>
      </c>
      <c r="P15" s="36"/>
      <c r="Q15" s="36"/>
      <c r="R15" s="36"/>
      <c r="S15" s="312"/>
    </row>
    <row r="16" spans="1:19" ht="12">
      <c r="A16" s="315" t="s">
        <v>279</v>
      </c>
      <c r="B16" s="42"/>
      <c r="C16" s="122">
        <v>2500</v>
      </c>
      <c r="D16" s="36" t="s">
        <v>21</v>
      </c>
      <c r="E16" s="36"/>
      <c r="F16" s="36"/>
      <c r="G16" s="245" t="s">
        <v>56</v>
      </c>
      <c r="H16" s="42"/>
      <c r="I16" s="120">
        <v>0.0475</v>
      </c>
      <c r="J16" s="36" t="s">
        <v>59</v>
      </c>
      <c r="K16" s="36"/>
      <c r="L16" s="41" t="str">
        <f>L15&amp;" - Annual Increase"</f>
        <v>Other expenses - Annual Increase</v>
      </c>
      <c r="M16" s="42"/>
      <c r="N16" s="120">
        <v>0.0015</v>
      </c>
      <c r="O16" s="36" t="s">
        <v>68</v>
      </c>
      <c r="P16" s="36"/>
      <c r="Q16" s="36"/>
      <c r="R16" s="36"/>
      <c r="S16" s="312"/>
    </row>
    <row r="17" spans="1:19" ht="12">
      <c r="A17" s="315" t="s">
        <v>280</v>
      </c>
      <c r="B17" s="42"/>
      <c r="C17" s="122">
        <f>E27*revolver_limit+SUMPRODUCT(C28:C33,E28:E33)</f>
        <v>10887.5</v>
      </c>
      <c r="D17" s="36" t="s">
        <v>21</v>
      </c>
      <c r="E17" s="36"/>
      <c r="F17" s="36"/>
      <c r="G17" s="245" t="s">
        <v>78</v>
      </c>
      <c r="H17" s="42"/>
      <c r="I17" s="122">
        <v>600000</v>
      </c>
      <c r="J17" s="36" t="s">
        <v>21</v>
      </c>
      <c r="K17" s="36"/>
      <c r="L17" s="41"/>
      <c r="M17" s="42"/>
      <c r="N17" s="36"/>
      <c r="O17" s="36"/>
      <c r="P17" s="36"/>
      <c r="Q17" s="36"/>
      <c r="R17" s="36"/>
      <c r="S17" s="312"/>
    </row>
    <row r="18" spans="1:19" ht="12">
      <c r="A18" s="315" t="s">
        <v>175</v>
      </c>
      <c r="B18" s="42"/>
      <c r="C18" s="122">
        <v>27500</v>
      </c>
      <c r="D18" s="36" t="s">
        <v>21</v>
      </c>
      <c r="E18" s="36"/>
      <c r="F18" s="36"/>
      <c r="G18" s="245" t="s">
        <v>190</v>
      </c>
      <c r="H18" s="42"/>
      <c r="I18" s="120">
        <v>0.01</v>
      </c>
      <c r="J18" s="36" t="s">
        <v>59</v>
      </c>
      <c r="K18" s="36"/>
      <c r="L18" s="34" t="s">
        <v>96</v>
      </c>
      <c r="M18" s="46"/>
      <c r="N18" s="36"/>
      <c r="O18" s="36"/>
      <c r="P18" s="36"/>
      <c r="Q18" s="36"/>
      <c r="R18" s="36"/>
      <c r="S18" s="312"/>
    </row>
    <row r="19" spans="1:19" ht="12">
      <c r="A19" s="229"/>
      <c r="B19" s="36"/>
      <c r="C19" s="45"/>
      <c r="D19" s="36"/>
      <c r="E19" s="36"/>
      <c r="F19" s="36"/>
      <c r="G19" s="41"/>
      <c r="H19" s="42"/>
      <c r="I19" s="36"/>
      <c r="J19" s="36"/>
      <c r="K19" s="36"/>
      <c r="L19" s="47" t="s">
        <v>69</v>
      </c>
      <c r="M19" s="47"/>
      <c r="N19" s="120">
        <v>0.18</v>
      </c>
      <c r="O19" s="36" t="s">
        <v>22</v>
      </c>
      <c r="P19" s="36"/>
      <c r="Q19" s="36"/>
      <c r="R19" s="36"/>
      <c r="S19" s="312"/>
    </row>
    <row r="20" spans="1:19" ht="12">
      <c r="A20" s="316" t="s">
        <v>92</v>
      </c>
      <c r="B20" s="42"/>
      <c r="C20" s="40">
        <f>SUM(C12,C14:C18)</f>
        <v>950887.5</v>
      </c>
      <c r="D20" s="36" t="s">
        <v>21</v>
      </c>
      <c r="E20" s="36"/>
      <c r="F20" s="36"/>
      <c r="G20" s="32" t="str">
        <f>A28</f>
        <v>Term Loan "A"</v>
      </c>
      <c r="H20" s="33"/>
      <c r="I20" s="295"/>
      <c r="J20" s="296"/>
      <c r="K20" s="36"/>
      <c r="L20" s="30" t="str">
        <f>L19&amp;" - Annual Increase"</f>
        <v>Accounts receivable - Annual Increase</v>
      </c>
      <c r="M20" s="31"/>
      <c r="N20" s="120">
        <v>0.05</v>
      </c>
      <c r="O20" s="36" t="s">
        <v>68</v>
      </c>
      <c r="P20" s="36"/>
      <c r="Q20" s="36"/>
      <c r="R20" s="36"/>
      <c r="S20" s="312"/>
    </row>
    <row r="21" spans="1:19" ht="12">
      <c r="A21" s="229"/>
      <c r="B21" s="36"/>
      <c r="C21" s="293"/>
      <c r="D21" s="36"/>
      <c r="E21" s="36"/>
      <c r="F21" s="36"/>
      <c r="G21" s="245" t="s">
        <v>87</v>
      </c>
      <c r="H21" s="42"/>
      <c r="I21" s="125">
        <v>8</v>
      </c>
      <c r="J21" s="86" t="s">
        <v>61</v>
      </c>
      <c r="K21" s="36"/>
      <c r="L21" s="51" t="s">
        <v>49</v>
      </c>
      <c r="M21" s="52"/>
      <c r="N21" s="120">
        <v>0.2</v>
      </c>
      <c r="O21" s="36" t="s">
        <v>54</v>
      </c>
      <c r="P21" s="36"/>
      <c r="Q21" s="36"/>
      <c r="R21" s="36"/>
      <c r="S21" s="312"/>
    </row>
    <row r="22" spans="1:19" ht="12">
      <c r="A22" s="229"/>
      <c r="B22" s="36"/>
      <c r="C22" s="36"/>
      <c r="D22" s="36"/>
      <c r="E22" s="36"/>
      <c r="F22" s="36"/>
      <c r="G22" s="245" t="s">
        <v>55</v>
      </c>
      <c r="H22" s="42"/>
      <c r="I22" s="44">
        <f>1/I21</f>
        <v>0.125</v>
      </c>
      <c r="J22" s="36" t="s">
        <v>58</v>
      </c>
      <c r="K22" s="36"/>
      <c r="L22" s="41" t="str">
        <f>L21&amp;" - Annual Increase"</f>
        <v>Inventories - Annual Increase</v>
      </c>
      <c r="M22" s="42"/>
      <c r="N22" s="120">
        <v>0.04</v>
      </c>
      <c r="O22" s="36" t="s">
        <v>68</v>
      </c>
      <c r="P22" s="36"/>
      <c r="Q22" s="36"/>
      <c r="R22" s="36"/>
      <c r="S22" s="312"/>
    </row>
    <row r="23" spans="1:19" ht="12">
      <c r="A23" s="318" t="s">
        <v>94</v>
      </c>
      <c r="B23" s="28"/>
      <c r="C23" s="36"/>
      <c r="D23" s="36"/>
      <c r="E23" s="36"/>
      <c r="F23" s="36"/>
      <c r="G23" s="245" t="s">
        <v>56</v>
      </c>
      <c r="H23" s="42"/>
      <c r="I23" s="120">
        <v>0.055</v>
      </c>
      <c r="J23" s="36" t="s">
        <v>59</v>
      </c>
      <c r="K23" s="36"/>
      <c r="L23" s="30" t="s">
        <v>50</v>
      </c>
      <c r="M23" s="31"/>
      <c r="N23" s="120">
        <v>0.045</v>
      </c>
      <c r="O23" s="36" t="s">
        <v>22</v>
      </c>
      <c r="P23" s="36"/>
      <c r="Q23" s="36"/>
      <c r="R23" s="36"/>
      <c r="S23" s="312"/>
    </row>
    <row r="24" spans="1:19" ht="12">
      <c r="A24" s="315" t="s">
        <v>176</v>
      </c>
      <c r="B24" s="42"/>
      <c r="C24" s="40">
        <f>IF(cash_min=1,Bal_Sheet!C10-cash_min_amt,Bal_Sheet!C10)</f>
        <v>5000</v>
      </c>
      <c r="D24" s="36" t="s">
        <v>21</v>
      </c>
      <c r="E24" s="36"/>
      <c r="F24" s="36"/>
      <c r="G24" s="245" t="s">
        <v>60</v>
      </c>
      <c r="H24" s="246"/>
      <c r="I24" s="126">
        <v>1</v>
      </c>
      <c r="J24" s="36" t="s">
        <v>197</v>
      </c>
      <c r="K24" s="36"/>
      <c r="L24" s="30" t="str">
        <f>L23&amp;" - Annual Increase"</f>
        <v>Prepaids - Annual Increase</v>
      </c>
      <c r="M24" s="31"/>
      <c r="N24" s="120">
        <v>0.02</v>
      </c>
      <c r="O24" s="36" t="s">
        <v>68</v>
      </c>
      <c r="P24" s="45"/>
      <c r="Q24" s="300" t="s">
        <v>199</v>
      </c>
      <c r="R24" s="301" t="s">
        <v>202</v>
      </c>
      <c r="S24" s="319"/>
    </row>
    <row r="25" spans="1:21" ht="12">
      <c r="A25" s="320" t="s">
        <v>170</v>
      </c>
      <c r="B25" s="33"/>
      <c r="C25" s="45"/>
      <c r="D25" s="36"/>
      <c r="E25" s="289" t="s">
        <v>183</v>
      </c>
      <c r="F25" s="36"/>
      <c r="G25" s="245" t="s">
        <v>300</v>
      </c>
      <c r="H25" s="42"/>
      <c r="I25" s="125">
        <v>1</v>
      </c>
      <c r="J25" s="36" t="s">
        <v>197</v>
      </c>
      <c r="K25" s="36"/>
      <c r="L25" s="221" t="s">
        <v>52</v>
      </c>
      <c r="M25" s="221"/>
      <c r="N25" s="120">
        <v>0.12</v>
      </c>
      <c r="O25" s="36" t="s">
        <v>22</v>
      </c>
      <c r="P25" s="36"/>
      <c r="Q25" s="302" t="s">
        <v>200</v>
      </c>
      <c r="R25" s="297" t="s">
        <v>201</v>
      </c>
      <c r="S25" s="321"/>
      <c r="T25" s="4"/>
      <c r="U25" s="4"/>
    </row>
    <row r="26" spans="1:21" ht="12">
      <c r="A26" s="315" t="str">
        <f>A15</f>
        <v>Assumed Debt</v>
      </c>
      <c r="B26" s="42"/>
      <c r="C26" s="40">
        <f>C15</f>
        <v>65000</v>
      </c>
      <c r="D26" s="36" t="s">
        <v>21</v>
      </c>
      <c r="E26" s="55"/>
      <c r="F26" s="36"/>
      <c r="G26" s="41"/>
      <c r="H26" s="42"/>
      <c r="I26" s="36"/>
      <c r="J26" s="36"/>
      <c r="K26" s="36"/>
      <c r="L26" s="41" t="str">
        <f>L25&amp;" - Annual Increase"</f>
        <v>Other current assets - Annual Increase</v>
      </c>
      <c r="M26" s="42"/>
      <c r="N26" s="120">
        <v>0.025</v>
      </c>
      <c r="O26" s="36" t="s">
        <v>68</v>
      </c>
      <c r="P26" s="36"/>
      <c r="Q26" s="303"/>
      <c r="R26" s="13"/>
      <c r="S26" s="322" t="s">
        <v>239</v>
      </c>
      <c r="T26" s="4"/>
      <c r="U26" s="4"/>
    </row>
    <row r="27" spans="1:21" ht="12">
      <c r="A27" s="323" t="s">
        <v>81</v>
      </c>
      <c r="B27" s="221"/>
      <c r="C27" s="40">
        <f>C20-SUM(C24,C26,C28:C33,C35,C37:C39)</f>
        <v>200887.5</v>
      </c>
      <c r="D27" s="36" t="s">
        <v>21</v>
      </c>
      <c r="E27" s="124">
        <v>0.0075</v>
      </c>
      <c r="F27" s="36"/>
      <c r="G27" s="32" t="str">
        <f>A29</f>
        <v>Term Loan "B"</v>
      </c>
      <c r="H27" s="33"/>
      <c r="I27" s="295"/>
      <c r="J27" s="296"/>
      <c r="K27" s="36"/>
      <c r="L27" s="48" t="s">
        <v>275</v>
      </c>
      <c r="M27" s="48"/>
      <c r="N27" s="120">
        <v>0.04</v>
      </c>
      <c r="O27" s="36" t="s">
        <v>22</v>
      </c>
      <c r="P27" s="36"/>
      <c r="Q27" s="303">
        <f>revolver_limit*E27</f>
        <v>4500</v>
      </c>
      <c r="R27" s="13">
        <f>Q27/S27</f>
        <v>450</v>
      </c>
      <c r="S27" s="324">
        <v>10</v>
      </c>
      <c r="T27" s="4"/>
      <c r="U27" s="4"/>
    </row>
    <row r="28" spans="1:21" ht="12">
      <c r="A28" s="325" t="s">
        <v>82</v>
      </c>
      <c r="B28" s="242"/>
      <c r="C28" s="123">
        <v>80000</v>
      </c>
      <c r="D28" s="36" t="s">
        <v>21</v>
      </c>
      <c r="E28" s="124">
        <v>0.015</v>
      </c>
      <c r="F28" s="36"/>
      <c r="G28" s="245" t="s">
        <v>87</v>
      </c>
      <c r="H28" s="42"/>
      <c r="I28" s="125">
        <v>11</v>
      </c>
      <c r="J28" s="86" t="s">
        <v>61</v>
      </c>
      <c r="K28" s="36"/>
      <c r="L28" s="30" t="str">
        <f>L27&amp;" - Annual Increase"</f>
        <v>Other long-term assets - Annual Increase</v>
      </c>
      <c r="M28" s="31"/>
      <c r="N28" s="120">
        <v>0.005</v>
      </c>
      <c r="O28" s="36" t="s">
        <v>68</v>
      </c>
      <c r="P28" s="36"/>
      <c r="Q28" s="303">
        <f aca="true" t="shared" si="0" ref="Q28:Q33">C28*E28</f>
        <v>1200</v>
      </c>
      <c r="R28" s="13">
        <f>Q28/I21</f>
        <v>150</v>
      </c>
      <c r="S28" s="321"/>
      <c r="T28" s="4"/>
      <c r="U28" s="4"/>
    </row>
    <row r="29" spans="1:21" ht="12">
      <c r="A29" s="325" t="s">
        <v>83</v>
      </c>
      <c r="B29" s="242"/>
      <c r="C29" s="123">
        <v>55000</v>
      </c>
      <c r="D29" s="36" t="s">
        <v>21</v>
      </c>
      <c r="E29" s="124">
        <v>0.0175</v>
      </c>
      <c r="F29" s="36"/>
      <c r="G29" s="245" t="s">
        <v>55</v>
      </c>
      <c r="H29" s="42"/>
      <c r="I29" s="120">
        <v>0.04</v>
      </c>
      <c r="J29" s="36" t="s">
        <v>58</v>
      </c>
      <c r="K29" s="36"/>
      <c r="L29" s="41"/>
      <c r="M29" s="42"/>
      <c r="N29" s="45"/>
      <c r="O29" s="45"/>
      <c r="P29" s="36"/>
      <c r="Q29" s="303">
        <f t="shared" si="0"/>
        <v>962.5000000000001</v>
      </c>
      <c r="R29" s="13">
        <f>Q29/I28</f>
        <v>87.50000000000001</v>
      </c>
      <c r="S29" s="321"/>
      <c r="T29" s="4"/>
      <c r="U29" s="4"/>
    </row>
    <row r="30" spans="1:21" ht="12">
      <c r="A30" s="323" t="s">
        <v>84</v>
      </c>
      <c r="B30" s="221"/>
      <c r="C30" s="122">
        <v>65000</v>
      </c>
      <c r="D30" s="36" t="s">
        <v>21</v>
      </c>
      <c r="E30" s="124">
        <v>0.02</v>
      </c>
      <c r="F30" s="36"/>
      <c r="G30" s="245" t="s">
        <v>189</v>
      </c>
      <c r="H30" s="42"/>
      <c r="I30" s="44">
        <f>1-(I28-1)*termloanB_ann_repay</f>
        <v>0.6</v>
      </c>
      <c r="J30" s="36" t="s">
        <v>58</v>
      </c>
      <c r="K30" s="36"/>
      <c r="L30" s="48" t="s">
        <v>23</v>
      </c>
      <c r="M30" s="48"/>
      <c r="N30" s="120">
        <v>0.15</v>
      </c>
      <c r="O30" s="36" t="s">
        <v>359</v>
      </c>
      <c r="P30" s="36"/>
      <c r="Q30" s="303">
        <f t="shared" si="0"/>
        <v>1300</v>
      </c>
      <c r="R30" s="13">
        <f>Q30/senior_notes_mat_yr</f>
        <v>144.44444444444446</v>
      </c>
      <c r="S30" s="321"/>
      <c r="T30" s="4"/>
      <c r="U30" s="4"/>
    </row>
    <row r="31" spans="1:21" ht="12">
      <c r="A31" s="323" t="s">
        <v>85</v>
      </c>
      <c r="B31" s="221"/>
      <c r="C31" s="122">
        <v>40000</v>
      </c>
      <c r="D31" s="36" t="s">
        <v>21</v>
      </c>
      <c r="E31" s="124">
        <v>0.025</v>
      </c>
      <c r="F31" s="36"/>
      <c r="G31" s="245" t="s">
        <v>56</v>
      </c>
      <c r="H31" s="42"/>
      <c r="I31" s="120">
        <v>0.0525</v>
      </c>
      <c r="J31" s="36" t="s">
        <v>59</v>
      </c>
      <c r="K31" s="36"/>
      <c r="L31" s="30" t="str">
        <f>L30&amp;" - Annual Increase"</f>
        <v>Accounts payable - Annual Increase</v>
      </c>
      <c r="M31" s="31"/>
      <c r="N31" s="120">
        <v>0.02</v>
      </c>
      <c r="O31" s="36" t="s">
        <v>68</v>
      </c>
      <c r="P31" s="36"/>
      <c r="Q31" s="303">
        <f t="shared" si="0"/>
        <v>1000</v>
      </c>
      <c r="R31" s="13">
        <f>Q31/sub_notes_mat_yr</f>
        <v>83.33333333333333</v>
      </c>
      <c r="S31" s="321"/>
      <c r="T31" s="4"/>
      <c r="U31" s="4"/>
    </row>
    <row r="32" spans="1:21" ht="12">
      <c r="A32" s="323" t="s">
        <v>168</v>
      </c>
      <c r="B32" s="221"/>
      <c r="C32" s="122">
        <v>70000</v>
      </c>
      <c r="D32" s="36" t="s">
        <v>21</v>
      </c>
      <c r="E32" s="124">
        <v>0.0275</v>
      </c>
      <c r="F32" s="36"/>
      <c r="G32" s="245" t="s">
        <v>60</v>
      </c>
      <c r="H32" s="246"/>
      <c r="I32" s="126">
        <v>1</v>
      </c>
      <c r="J32" s="36" t="s">
        <v>197</v>
      </c>
      <c r="K32" s="36"/>
      <c r="L32" s="243" t="s">
        <v>51</v>
      </c>
      <c r="M32" s="243"/>
      <c r="N32" s="120">
        <v>0.06</v>
      </c>
      <c r="O32" s="36" t="s">
        <v>22</v>
      </c>
      <c r="P32" s="36"/>
      <c r="Q32" s="303">
        <f t="shared" si="0"/>
        <v>1925</v>
      </c>
      <c r="R32" s="13">
        <f>Q32/mezzdebt_maturity_year</f>
        <v>137.5</v>
      </c>
      <c r="S32" s="321"/>
      <c r="T32" s="4"/>
      <c r="U32" s="4"/>
    </row>
    <row r="33" spans="1:21" ht="12">
      <c r="A33" s="323" t="s">
        <v>169</v>
      </c>
      <c r="B33" s="221"/>
      <c r="C33" s="122">
        <v>25000</v>
      </c>
      <c r="D33" s="36" t="s">
        <v>21</v>
      </c>
      <c r="E33" s="124">
        <v>0</v>
      </c>
      <c r="F33" s="36"/>
      <c r="G33" s="245" t="s">
        <v>300</v>
      </c>
      <c r="H33" s="42"/>
      <c r="I33" s="125">
        <v>1</v>
      </c>
      <c r="J33" s="36" t="s">
        <v>197</v>
      </c>
      <c r="K33" s="36"/>
      <c r="L33" s="41" t="str">
        <f>L32&amp;" - Annual Increase"</f>
        <v>Accrued expenses - Annual Increase</v>
      </c>
      <c r="M33" s="42"/>
      <c r="N33" s="120">
        <v>0.015</v>
      </c>
      <c r="O33" s="36" t="s">
        <v>68</v>
      </c>
      <c r="P33" s="36"/>
      <c r="Q33" s="304">
        <f t="shared" si="0"/>
        <v>0</v>
      </c>
      <c r="R33" s="13">
        <f>Q33/I56</f>
        <v>0</v>
      </c>
      <c r="S33" s="321"/>
      <c r="T33" s="4"/>
      <c r="U33" s="4"/>
    </row>
    <row r="34" spans="1:21" ht="12">
      <c r="A34" s="320" t="s">
        <v>171</v>
      </c>
      <c r="B34" s="33"/>
      <c r="C34" s="45"/>
      <c r="D34" s="36"/>
      <c r="E34" s="104"/>
      <c r="F34" s="36"/>
      <c r="G34" s="41"/>
      <c r="H34" s="42"/>
      <c r="I34" s="36"/>
      <c r="J34" s="36"/>
      <c r="K34" s="36"/>
      <c r="L34" s="30" t="s">
        <v>53</v>
      </c>
      <c r="M34" s="31"/>
      <c r="N34" s="120">
        <v>0.08</v>
      </c>
      <c r="O34" s="36" t="s">
        <v>22</v>
      </c>
      <c r="P34" s="36"/>
      <c r="Q34" s="305">
        <f>SUM(Q27:Q33)</f>
        <v>10887.5</v>
      </c>
      <c r="R34" s="299">
        <f>SUM(R27:R33)</f>
        <v>1052.7777777777778</v>
      </c>
      <c r="S34" s="321"/>
      <c r="T34" s="4"/>
      <c r="U34" s="4"/>
    </row>
    <row r="35" spans="1:21" ht="12">
      <c r="A35" s="323" t="s">
        <v>124</v>
      </c>
      <c r="B35" s="221"/>
      <c r="C35" s="122">
        <v>60000</v>
      </c>
      <c r="D35" s="36" t="s">
        <v>21</v>
      </c>
      <c r="E35" s="124">
        <v>0.02</v>
      </c>
      <c r="F35" s="36"/>
      <c r="G35" s="32" t="str">
        <f>A30</f>
        <v>Senior Notes</v>
      </c>
      <c r="H35" s="33"/>
      <c r="I35" s="295"/>
      <c r="J35" s="36"/>
      <c r="K35" s="36"/>
      <c r="L35" s="30" t="str">
        <f>L34&amp;" - Annual Increase"</f>
        <v>Other current liabilities - Annual Increase</v>
      </c>
      <c r="M35" s="31"/>
      <c r="N35" s="120">
        <v>0.01</v>
      </c>
      <c r="O35" s="36" t="s">
        <v>68</v>
      </c>
      <c r="P35" s="36"/>
      <c r="Q35" s="306">
        <f>C35*E35</f>
        <v>1200</v>
      </c>
      <c r="R35" s="13"/>
      <c r="S35" s="321"/>
      <c r="T35" s="4"/>
      <c r="U35" s="4"/>
    </row>
    <row r="36" spans="1:21" ht="12">
      <c r="A36" s="320" t="s">
        <v>172</v>
      </c>
      <c r="B36" s="33"/>
      <c r="C36" s="45"/>
      <c r="D36" s="36"/>
      <c r="E36" s="104"/>
      <c r="F36" s="36"/>
      <c r="G36" s="245" t="s">
        <v>57</v>
      </c>
      <c r="H36" s="42"/>
      <c r="I36" s="125">
        <v>9</v>
      </c>
      <c r="J36" s="86" t="s">
        <v>61</v>
      </c>
      <c r="K36" s="36"/>
      <c r="L36" s="41" t="s">
        <v>187</v>
      </c>
      <c r="M36" s="42"/>
      <c r="N36" s="124">
        <v>0.1</v>
      </c>
      <c r="O36" s="25" t="s">
        <v>22</v>
      </c>
      <c r="P36" s="36"/>
      <c r="Q36" s="307">
        <f>SUM(Q34:Q35)</f>
        <v>12087.5</v>
      </c>
      <c r="R36" s="298"/>
      <c r="S36" s="326"/>
      <c r="T36" s="4"/>
      <c r="U36" s="4"/>
    </row>
    <row r="37" spans="1:21" ht="12">
      <c r="A37" s="327" t="s">
        <v>173</v>
      </c>
      <c r="B37" s="243"/>
      <c r="C37" s="122">
        <v>220000</v>
      </c>
      <c r="D37" s="36" t="s">
        <v>21</v>
      </c>
      <c r="E37" s="104"/>
      <c r="F37" s="36"/>
      <c r="G37" s="245" t="s">
        <v>56</v>
      </c>
      <c r="H37" s="42"/>
      <c r="I37" s="120">
        <v>0.0425</v>
      </c>
      <c r="J37" s="36" t="s">
        <v>59</v>
      </c>
      <c r="K37" s="36"/>
      <c r="L37" s="41" t="s">
        <v>233</v>
      </c>
      <c r="M37" s="42"/>
      <c r="N37" s="128">
        <v>1</v>
      </c>
      <c r="O37" s="36" t="s">
        <v>65</v>
      </c>
      <c r="P37" s="36"/>
      <c r="Q37" s="86"/>
      <c r="R37" s="86"/>
      <c r="S37" s="237"/>
      <c r="T37" s="4"/>
      <c r="U37" s="4"/>
    </row>
    <row r="38" spans="1:21" ht="12">
      <c r="A38" s="327" t="s">
        <v>174</v>
      </c>
      <c r="B38" s="243"/>
      <c r="C38" s="122">
        <v>40000</v>
      </c>
      <c r="D38" s="36" t="s">
        <v>21</v>
      </c>
      <c r="E38" s="104"/>
      <c r="F38" s="36"/>
      <c r="G38" s="245" t="s">
        <v>60</v>
      </c>
      <c r="H38" s="246"/>
      <c r="I38" s="126">
        <v>1</v>
      </c>
      <c r="J38" s="36" t="s">
        <v>197</v>
      </c>
      <c r="K38" s="36"/>
      <c r="L38" s="41" t="s">
        <v>188</v>
      </c>
      <c r="M38" s="42"/>
      <c r="N38" s="128">
        <v>1</v>
      </c>
      <c r="O38" s="36" t="s">
        <v>65</v>
      </c>
      <c r="P38" s="36"/>
      <c r="Q38" s="86"/>
      <c r="R38" s="86"/>
      <c r="S38" s="237"/>
      <c r="T38" s="4"/>
      <c r="U38" s="4"/>
    </row>
    <row r="39" spans="1:21" ht="12">
      <c r="A39" s="315" t="s">
        <v>308</v>
      </c>
      <c r="B39" s="42"/>
      <c r="C39" s="127">
        <v>25000</v>
      </c>
      <c r="D39" s="36" t="s">
        <v>21</v>
      </c>
      <c r="E39" s="104"/>
      <c r="F39" s="36"/>
      <c r="G39" s="245" t="s">
        <v>300</v>
      </c>
      <c r="H39" s="42"/>
      <c r="I39" s="125">
        <v>1</v>
      </c>
      <c r="J39" s="36" t="s">
        <v>197</v>
      </c>
      <c r="K39" s="36"/>
      <c r="L39" s="36"/>
      <c r="M39" s="36"/>
      <c r="N39" s="36"/>
      <c r="O39" s="36"/>
      <c r="P39" s="36"/>
      <c r="Q39" s="86"/>
      <c r="R39" s="86"/>
      <c r="S39" s="237"/>
      <c r="T39" s="4"/>
      <c r="U39" s="4"/>
    </row>
    <row r="40" spans="1:21" ht="12">
      <c r="A40" s="328" t="s">
        <v>101</v>
      </c>
      <c r="B40" s="217"/>
      <c r="C40" s="40">
        <f>SUM(C24:C39)</f>
        <v>950887.5</v>
      </c>
      <c r="D40" s="36" t="s">
        <v>21</v>
      </c>
      <c r="E40" s="36"/>
      <c r="F40" s="36"/>
      <c r="G40" s="41"/>
      <c r="H40" s="42"/>
      <c r="I40" s="36"/>
      <c r="J40" s="36"/>
      <c r="K40" s="36"/>
      <c r="L40" s="36"/>
      <c r="M40" s="36"/>
      <c r="N40" s="36"/>
      <c r="O40" s="36"/>
      <c r="P40" s="36"/>
      <c r="Q40" s="86"/>
      <c r="R40" s="86"/>
      <c r="S40" s="237"/>
      <c r="T40" s="4"/>
      <c r="U40" s="4"/>
    </row>
    <row r="41" spans="1:21" ht="12">
      <c r="A41" s="229"/>
      <c r="B41" s="36"/>
      <c r="C41" s="36"/>
      <c r="D41" s="36"/>
      <c r="E41" s="36"/>
      <c r="F41" s="290"/>
      <c r="G41" s="32" t="str">
        <f>A31</f>
        <v>Subordinated Notes</v>
      </c>
      <c r="H41" s="33"/>
      <c r="I41" s="295"/>
      <c r="J41" s="36"/>
      <c r="K41" s="36"/>
      <c r="L41" s="27" t="s">
        <v>97</v>
      </c>
      <c r="M41" s="29"/>
      <c r="N41" s="45"/>
      <c r="O41" s="36"/>
      <c r="P41" s="36"/>
      <c r="Q41" s="86"/>
      <c r="R41" s="86"/>
      <c r="S41" s="237"/>
      <c r="T41" s="4"/>
      <c r="U41" s="4"/>
    </row>
    <row r="42" spans="1:21" ht="12">
      <c r="A42" s="229"/>
      <c r="B42" s="36"/>
      <c r="C42" s="36"/>
      <c r="D42" s="36"/>
      <c r="E42" s="36"/>
      <c r="F42" s="36"/>
      <c r="G42" s="245" t="s">
        <v>57</v>
      </c>
      <c r="H42" s="42"/>
      <c r="I42" s="125">
        <v>12</v>
      </c>
      <c r="J42" s="86" t="s">
        <v>61</v>
      </c>
      <c r="K42" s="36"/>
      <c r="L42" s="342" t="s">
        <v>63</v>
      </c>
      <c r="M42" s="31"/>
      <c r="N42" s="122">
        <v>50000</v>
      </c>
      <c r="O42" s="36" t="s">
        <v>21</v>
      </c>
      <c r="P42" s="36"/>
      <c r="Q42" s="86"/>
      <c r="R42" s="86"/>
      <c r="S42" s="237"/>
      <c r="T42" s="4"/>
      <c r="U42" s="4"/>
    </row>
    <row r="43" spans="1:21" ht="12">
      <c r="A43" s="318" t="s">
        <v>204</v>
      </c>
      <c r="B43" s="28"/>
      <c r="C43" s="45"/>
      <c r="D43" s="36"/>
      <c r="E43" s="36"/>
      <c r="F43" s="329"/>
      <c r="G43" s="245" t="s">
        <v>56</v>
      </c>
      <c r="H43" s="42"/>
      <c r="I43" s="120">
        <v>0.045</v>
      </c>
      <c r="J43" s="36" t="s">
        <v>59</v>
      </c>
      <c r="K43" s="36"/>
      <c r="L43" s="342" t="s">
        <v>299</v>
      </c>
      <c r="M43" s="31"/>
      <c r="N43" s="126">
        <v>1</v>
      </c>
      <c r="O43" s="36" t="s">
        <v>64</v>
      </c>
      <c r="P43" s="36"/>
      <c r="Q43" s="86"/>
      <c r="R43" s="86"/>
      <c r="S43" s="237"/>
      <c r="T43" s="4"/>
      <c r="U43" s="4"/>
    </row>
    <row r="44" spans="1:21" ht="12">
      <c r="A44" s="330" t="s">
        <v>91</v>
      </c>
      <c r="B44" s="52"/>
      <c r="C44" s="40">
        <f>C12</f>
        <v>660000</v>
      </c>
      <c r="D44" s="36" t="s">
        <v>21</v>
      </c>
      <c r="E44" s="36"/>
      <c r="F44" s="329"/>
      <c r="G44" s="245" t="s">
        <v>60</v>
      </c>
      <c r="H44" s="246"/>
      <c r="I44" s="126">
        <v>0</v>
      </c>
      <c r="J44" s="36" t="s">
        <v>197</v>
      </c>
      <c r="K44" s="36"/>
      <c r="L44" s="41"/>
      <c r="M44" s="42"/>
      <c r="N44" s="45"/>
      <c r="O44" s="36"/>
      <c r="P44" s="36"/>
      <c r="Q44" s="86"/>
      <c r="R44" s="86"/>
      <c r="S44" s="237"/>
      <c r="T44" s="4"/>
      <c r="U44" s="4"/>
    </row>
    <row r="45" spans="1:21" ht="12">
      <c r="A45" s="330" t="s">
        <v>185</v>
      </c>
      <c r="B45" s="52"/>
      <c r="C45" s="54"/>
      <c r="D45" s="36"/>
      <c r="E45" s="36"/>
      <c r="F45" s="329"/>
      <c r="G45" s="41" t="s">
        <v>182</v>
      </c>
      <c r="H45" s="42"/>
      <c r="I45" s="125">
        <v>5</v>
      </c>
      <c r="J45" s="86" t="s">
        <v>198</v>
      </c>
      <c r="K45" s="36"/>
      <c r="L45" s="30" t="s">
        <v>44</v>
      </c>
      <c r="M45" s="31"/>
      <c r="N45" s="120">
        <v>0.35</v>
      </c>
      <c r="O45" s="36" t="s">
        <v>3</v>
      </c>
      <c r="P45" s="36"/>
      <c r="Q45" s="86"/>
      <c r="R45" s="86"/>
      <c r="S45" s="237"/>
      <c r="T45" s="4"/>
      <c r="U45" s="4"/>
    </row>
    <row r="46" spans="1:21" ht="12">
      <c r="A46" s="331" t="s">
        <v>186</v>
      </c>
      <c r="B46" s="217"/>
      <c r="C46" s="244">
        <f>Bal_Sheet!C19</f>
        <v>20000</v>
      </c>
      <c r="D46" s="36" t="s">
        <v>21</v>
      </c>
      <c r="E46" s="36"/>
      <c r="F46" s="329"/>
      <c r="G46" s="245" t="s">
        <v>300</v>
      </c>
      <c r="H46" s="42"/>
      <c r="I46" s="125">
        <v>1</v>
      </c>
      <c r="J46" s="36" t="s">
        <v>197</v>
      </c>
      <c r="K46" s="36"/>
      <c r="L46" s="30" t="s">
        <v>48</v>
      </c>
      <c r="M46" s="31"/>
      <c r="N46" s="130">
        <v>2010</v>
      </c>
      <c r="O46" s="36" t="s">
        <v>66</v>
      </c>
      <c r="P46" s="36"/>
      <c r="Q46" s="86"/>
      <c r="R46" s="86"/>
      <c r="S46" s="237"/>
      <c r="T46" s="4"/>
      <c r="U46" s="4"/>
    </row>
    <row r="47" spans="1:21" ht="12">
      <c r="A47" s="229" t="s">
        <v>184</v>
      </c>
      <c r="B47" s="36"/>
      <c r="C47" s="55"/>
      <c r="D47" s="36"/>
      <c r="E47" s="36"/>
      <c r="F47" s="291"/>
      <c r="G47" s="41"/>
      <c r="H47" s="42"/>
      <c r="I47" s="36"/>
      <c r="J47" s="36"/>
      <c r="K47" s="291"/>
      <c r="L47" s="45"/>
      <c r="M47" s="45"/>
      <c r="N47" s="45"/>
      <c r="O47" s="36"/>
      <c r="P47" s="36"/>
      <c r="Q47" s="86"/>
      <c r="R47" s="86"/>
      <c r="S47" s="237"/>
      <c r="T47" s="4"/>
      <c r="U47" s="4"/>
    </row>
    <row r="48" spans="1:19" ht="12">
      <c r="A48" s="332" t="s">
        <v>195</v>
      </c>
      <c r="B48" s="36"/>
      <c r="C48" s="40">
        <f>SUM(Bal_Sheet!C62:C63)</f>
        <v>464749</v>
      </c>
      <c r="D48" s="36" t="s">
        <v>21</v>
      </c>
      <c r="E48" s="36"/>
      <c r="F48" s="291"/>
      <c r="G48" s="32" t="str">
        <f>A32</f>
        <v>Mezzanine Debt</v>
      </c>
      <c r="H48" s="33"/>
      <c r="I48" s="295"/>
      <c r="J48" s="36"/>
      <c r="K48" s="291"/>
      <c r="L48" s="45"/>
      <c r="M48" s="45"/>
      <c r="N48" s="45"/>
      <c r="O48" s="36"/>
      <c r="P48" s="36"/>
      <c r="Q48" s="36"/>
      <c r="R48" s="36"/>
      <c r="S48" s="312"/>
    </row>
    <row r="49" spans="1:19" ht="12">
      <c r="A49" s="332" t="s">
        <v>206</v>
      </c>
      <c r="B49" s="36"/>
      <c r="C49" s="122">
        <v>2450</v>
      </c>
      <c r="D49" s="36" t="s">
        <v>21</v>
      </c>
      <c r="E49" s="36"/>
      <c r="F49" s="291"/>
      <c r="G49" s="245" t="s">
        <v>57</v>
      </c>
      <c r="H49" s="42"/>
      <c r="I49" s="125">
        <v>14</v>
      </c>
      <c r="J49" s="86" t="s">
        <v>61</v>
      </c>
      <c r="K49" s="291"/>
      <c r="L49" s="27" t="s">
        <v>306</v>
      </c>
      <c r="M49" s="29"/>
      <c r="N49" s="45"/>
      <c r="O49" s="36"/>
      <c r="P49" s="36"/>
      <c r="Q49" s="36"/>
      <c r="R49" s="36"/>
      <c r="S49" s="312"/>
    </row>
    <row r="50" spans="1:19" ht="12">
      <c r="A50" s="332" t="s">
        <v>205</v>
      </c>
      <c r="B50" s="36"/>
      <c r="C50" s="122">
        <v>1200</v>
      </c>
      <c r="D50" s="36" t="s">
        <v>21</v>
      </c>
      <c r="E50" s="36"/>
      <c r="F50" s="291"/>
      <c r="G50" s="245" t="s">
        <v>56</v>
      </c>
      <c r="H50" s="42"/>
      <c r="I50" s="120">
        <v>0.045</v>
      </c>
      <c r="J50" s="36" t="s">
        <v>59</v>
      </c>
      <c r="K50" s="291"/>
      <c r="L50" s="49" t="s">
        <v>115</v>
      </c>
      <c r="M50" s="49"/>
      <c r="N50" s="98">
        <f>IF(WACC!H7=1,ROUND(WACC!L16,2),ROUND(WACC!L7,2))</f>
        <v>0.07</v>
      </c>
      <c r="O50" s="36" t="s">
        <v>3</v>
      </c>
      <c r="P50" s="36"/>
      <c r="Q50" s="36"/>
      <c r="R50" s="36"/>
      <c r="S50" s="312"/>
    </row>
    <row r="51" spans="1:19" ht="12">
      <c r="A51" s="332" t="s">
        <v>209</v>
      </c>
      <c r="B51" s="36"/>
      <c r="C51" s="40">
        <f>Bal_Sheet!C44</f>
        <v>1400</v>
      </c>
      <c r="D51" s="36" t="s">
        <v>21</v>
      </c>
      <c r="E51" s="36"/>
      <c r="F51" s="291"/>
      <c r="G51" s="245" t="s">
        <v>60</v>
      </c>
      <c r="H51" s="246"/>
      <c r="I51" s="126">
        <v>0</v>
      </c>
      <c r="J51" s="36" t="s">
        <v>197</v>
      </c>
      <c r="K51" s="291"/>
      <c r="L51" s="247" t="s">
        <v>107</v>
      </c>
      <c r="M51" s="248"/>
      <c r="N51" s="194">
        <v>0.01</v>
      </c>
      <c r="O51" s="36" t="s">
        <v>3</v>
      </c>
      <c r="P51" s="36"/>
      <c r="Q51" s="36"/>
      <c r="R51" s="36"/>
      <c r="S51" s="312"/>
    </row>
    <row r="52" spans="1:19" ht="12">
      <c r="A52" s="333" t="s">
        <v>208</v>
      </c>
      <c r="B52" s="36"/>
      <c r="C52" s="40">
        <f>-SUM(C49:C50)*tax_rate</f>
        <v>-1277.5</v>
      </c>
      <c r="D52" s="36" t="s">
        <v>21</v>
      </c>
      <c r="E52" s="36"/>
      <c r="F52" s="291"/>
      <c r="G52" s="41" t="s">
        <v>182</v>
      </c>
      <c r="H52" s="42"/>
      <c r="I52" s="125">
        <v>5</v>
      </c>
      <c r="J52" s="86" t="s">
        <v>198</v>
      </c>
      <c r="K52" s="291"/>
      <c r="L52" s="221" t="s">
        <v>28</v>
      </c>
      <c r="M52" s="221"/>
      <c r="N52" s="129">
        <v>6</v>
      </c>
      <c r="O52" s="36" t="s">
        <v>29</v>
      </c>
      <c r="P52" s="36"/>
      <c r="Q52" s="36"/>
      <c r="R52" s="36"/>
      <c r="S52" s="312"/>
    </row>
    <row r="53" spans="1:19" ht="12">
      <c r="A53" s="315" t="s">
        <v>103</v>
      </c>
      <c r="B53" s="42"/>
      <c r="C53" s="40">
        <f>SUM(C44,C46,-SUM(C48:C52))</f>
        <v>211478.5</v>
      </c>
      <c r="D53" s="36" t="s">
        <v>21</v>
      </c>
      <c r="E53" s="36"/>
      <c r="F53" s="291"/>
      <c r="G53" s="245" t="s">
        <v>300</v>
      </c>
      <c r="H53" s="42"/>
      <c r="I53" s="125">
        <v>1</v>
      </c>
      <c r="J53" s="36" t="s">
        <v>197</v>
      </c>
      <c r="K53" s="291"/>
      <c r="L53" s="71" t="s">
        <v>112</v>
      </c>
      <c r="M53" s="72"/>
      <c r="N53" s="195">
        <v>2</v>
      </c>
      <c r="O53" s="36" t="s">
        <v>29</v>
      </c>
      <c r="P53" s="36"/>
      <c r="Q53" s="36"/>
      <c r="R53" s="36"/>
      <c r="S53" s="312"/>
    </row>
    <row r="54" spans="1:19" ht="12">
      <c r="A54" s="229"/>
      <c r="B54" s="36"/>
      <c r="C54" s="292"/>
      <c r="D54" s="36"/>
      <c r="E54" s="36"/>
      <c r="F54" s="291"/>
      <c r="G54" s="41"/>
      <c r="H54" s="42"/>
      <c r="I54" s="36"/>
      <c r="J54" s="36"/>
      <c r="K54" s="291"/>
      <c r="L54" s="49" t="s">
        <v>116</v>
      </c>
      <c r="M54" s="49"/>
      <c r="N54" s="124">
        <v>0.03</v>
      </c>
      <c r="O54" s="36" t="s">
        <v>3</v>
      </c>
      <c r="P54" s="36"/>
      <c r="Q54" s="36"/>
      <c r="R54" s="36"/>
      <c r="S54" s="312"/>
    </row>
    <row r="55" spans="1:19" ht="12">
      <c r="A55" s="229"/>
      <c r="B55" s="36"/>
      <c r="C55" s="293"/>
      <c r="D55" s="36"/>
      <c r="E55" s="36"/>
      <c r="F55" s="291"/>
      <c r="G55" s="32" t="str">
        <f>A33</f>
        <v>Seller Notes</v>
      </c>
      <c r="H55" s="33"/>
      <c r="I55" s="295"/>
      <c r="J55" s="296"/>
      <c r="K55" s="291"/>
      <c r="L55" s="249" t="s">
        <v>113</v>
      </c>
      <c r="M55" s="84"/>
      <c r="N55" s="194">
        <v>0.005</v>
      </c>
      <c r="O55" s="36" t="s">
        <v>3</v>
      </c>
      <c r="P55" s="36"/>
      <c r="Q55" s="36"/>
      <c r="R55" s="36"/>
      <c r="S55" s="312"/>
    </row>
    <row r="56" spans="1:19" ht="12">
      <c r="A56" s="236"/>
      <c r="B56" s="36"/>
      <c r="C56" s="293"/>
      <c r="D56" s="36"/>
      <c r="E56" s="36"/>
      <c r="F56" s="291"/>
      <c r="G56" s="245" t="s">
        <v>87</v>
      </c>
      <c r="H56" s="42"/>
      <c r="I56" s="125">
        <v>7</v>
      </c>
      <c r="J56" s="86" t="s">
        <v>61</v>
      </c>
      <c r="K56" s="291"/>
      <c r="L56" s="250" t="s">
        <v>122</v>
      </c>
      <c r="M56" s="251"/>
      <c r="N56" s="196">
        <f>Bal_Sheet!E54+Bal_Sheet!E61-Bal_Sheet!E10</f>
        <v>583387.5</v>
      </c>
      <c r="O56" s="36" t="s">
        <v>21</v>
      </c>
      <c r="P56" s="36"/>
      <c r="Q56" s="36"/>
      <c r="R56" s="36"/>
      <c r="S56" s="312"/>
    </row>
    <row r="57" spans="1:19" ht="12">
      <c r="A57" s="229"/>
      <c r="B57" s="36"/>
      <c r="C57" s="36"/>
      <c r="D57" s="36"/>
      <c r="E57" s="36"/>
      <c r="F57" s="291"/>
      <c r="G57" s="245" t="s">
        <v>55</v>
      </c>
      <c r="H57" s="42"/>
      <c r="I57" s="44">
        <f>1/I56</f>
        <v>0.14285714285714285</v>
      </c>
      <c r="J57" s="36" t="s">
        <v>58</v>
      </c>
      <c r="K57" s="291"/>
      <c r="L57" s="36"/>
      <c r="M57" s="36"/>
      <c r="N57" s="36"/>
      <c r="O57" s="36"/>
      <c r="P57" s="36"/>
      <c r="Q57" s="36"/>
      <c r="R57" s="36"/>
      <c r="S57" s="312"/>
    </row>
    <row r="58" spans="1:19" ht="12">
      <c r="A58" s="332"/>
      <c r="B58" s="36"/>
      <c r="C58" s="294"/>
      <c r="D58" s="36"/>
      <c r="E58" s="36"/>
      <c r="F58" s="291"/>
      <c r="G58" s="245" t="s">
        <v>56</v>
      </c>
      <c r="H58" s="42"/>
      <c r="I58" s="120">
        <v>0.0525</v>
      </c>
      <c r="J58" s="36" t="s">
        <v>59</v>
      </c>
      <c r="K58" s="291"/>
      <c r="L58" s="36"/>
      <c r="M58" s="36"/>
      <c r="N58" s="36"/>
      <c r="O58" s="36"/>
      <c r="P58" s="36"/>
      <c r="Q58" s="36"/>
      <c r="R58" s="36"/>
      <c r="S58" s="312"/>
    </row>
    <row r="59" spans="1:19" ht="12">
      <c r="A59" s="236"/>
      <c r="B59" s="36"/>
      <c r="C59" s="36"/>
      <c r="D59" s="36"/>
      <c r="E59" s="36"/>
      <c r="F59" s="291"/>
      <c r="G59" s="245" t="s">
        <v>60</v>
      </c>
      <c r="H59" s="246"/>
      <c r="I59" s="126">
        <v>1</v>
      </c>
      <c r="J59" s="36" t="s">
        <v>197</v>
      </c>
      <c r="K59" s="291"/>
      <c r="L59" s="36"/>
      <c r="M59" s="36"/>
      <c r="N59" s="36"/>
      <c r="O59" s="36"/>
      <c r="P59" s="36"/>
      <c r="Q59" s="36"/>
      <c r="R59" s="36"/>
      <c r="S59" s="312"/>
    </row>
    <row r="60" spans="1:19" ht="12">
      <c r="A60" s="333"/>
      <c r="B60" s="36"/>
      <c r="C60" s="293"/>
      <c r="D60" s="36"/>
      <c r="E60" s="36"/>
      <c r="F60" s="291"/>
      <c r="G60" s="41" t="s">
        <v>182</v>
      </c>
      <c r="H60" s="42"/>
      <c r="I60" s="125">
        <v>5</v>
      </c>
      <c r="J60" s="86" t="s">
        <v>198</v>
      </c>
      <c r="K60" s="291"/>
      <c r="L60" s="36"/>
      <c r="M60" s="36"/>
      <c r="N60" s="36"/>
      <c r="O60" s="36"/>
      <c r="P60" s="36"/>
      <c r="Q60" s="36"/>
      <c r="R60" s="36"/>
      <c r="S60" s="312"/>
    </row>
    <row r="61" spans="1:19" ht="12">
      <c r="A61" s="229"/>
      <c r="B61" s="36"/>
      <c r="C61" s="36"/>
      <c r="D61" s="36"/>
      <c r="E61" s="36"/>
      <c r="F61" s="36"/>
      <c r="G61" s="245" t="s">
        <v>300</v>
      </c>
      <c r="H61" s="42"/>
      <c r="I61" s="125">
        <v>1</v>
      </c>
      <c r="J61" s="36" t="s">
        <v>197</v>
      </c>
      <c r="K61" s="36"/>
      <c r="L61" s="36"/>
      <c r="M61" s="36"/>
      <c r="N61" s="36"/>
      <c r="O61" s="36"/>
      <c r="P61" s="36"/>
      <c r="Q61" s="36"/>
      <c r="R61" s="36"/>
      <c r="S61" s="312"/>
    </row>
    <row r="62" spans="1:19" ht="12">
      <c r="A62" s="229"/>
      <c r="B62" s="36"/>
      <c r="C62" s="36"/>
      <c r="D62" s="36"/>
      <c r="E62" s="36"/>
      <c r="F62" s="36"/>
      <c r="G62" s="41"/>
      <c r="H62" s="42"/>
      <c r="I62" s="36"/>
      <c r="J62" s="36"/>
      <c r="K62" s="36"/>
      <c r="L62" s="36"/>
      <c r="M62" s="36"/>
      <c r="N62" s="36"/>
      <c r="O62" s="36"/>
      <c r="P62" s="36"/>
      <c r="Q62" s="36"/>
      <c r="R62" s="36"/>
      <c r="S62" s="312"/>
    </row>
    <row r="63" spans="1:19" ht="12">
      <c r="A63" s="229"/>
      <c r="B63" s="36"/>
      <c r="C63" s="36"/>
      <c r="D63" s="36"/>
      <c r="E63" s="36"/>
      <c r="F63" s="36"/>
      <c r="G63" s="32" t="str">
        <f>A35</f>
        <v>Preferred Stock</v>
      </c>
      <c r="H63" s="33"/>
      <c r="I63" s="36"/>
      <c r="J63" s="36"/>
      <c r="K63" s="36"/>
      <c r="L63" s="36"/>
      <c r="M63" s="36"/>
      <c r="N63" s="36"/>
      <c r="O63" s="36"/>
      <c r="P63" s="36"/>
      <c r="Q63" s="36"/>
      <c r="R63" s="36"/>
      <c r="S63" s="312"/>
    </row>
    <row r="64" spans="1:19" ht="12">
      <c r="A64" s="229"/>
      <c r="B64" s="36"/>
      <c r="C64" s="36"/>
      <c r="D64" s="36"/>
      <c r="E64" s="36"/>
      <c r="F64" s="36"/>
      <c r="G64" s="245" t="s">
        <v>104</v>
      </c>
      <c r="H64" s="42"/>
      <c r="I64" s="120">
        <v>0.07</v>
      </c>
      <c r="J64" s="36" t="s">
        <v>59</v>
      </c>
      <c r="K64" s="36"/>
      <c r="L64" s="36"/>
      <c r="M64" s="36"/>
      <c r="N64" s="36"/>
      <c r="O64" s="36"/>
      <c r="P64" s="36"/>
      <c r="Q64" s="36"/>
      <c r="R64" s="36"/>
      <c r="S64" s="312"/>
    </row>
    <row r="65" spans="1:19" ht="12">
      <c r="A65" s="229"/>
      <c r="B65" s="36"/>
      <c r="C65" s="36"/>
      <c r="D65" s="36"/>
      <c r="E65" s="36"/>
      <c r="F65" s="36"/>
      <c r="G65" s="41" t="s">
        <v>182</v>
      </c>
      <c r="H65" s="42"/>
      <c r="I65" s="125">
        <v>5</v>
      </c>
      <c r="J65" s="86" t="s">
        <v>198</v>
      </c>
      <c r="K65" s="36"/>
      <c r="L65" s="36"/>
      <c r="M65" s="36"/>
      <c r="N65" s="36"/>
      <c r="O65" s="36"/>
      <c r="P65" s="36"/>
      <c r="Q65" s="36"/>
      <c r="R65" s="36"/>
      <c r="S65" s="312"/>
    </row>
    <row r="66" spans="1:19" ht="12.75" thickBot="1">
      <c r="A66" s="334"/>
      <c r="B66" s="335"/>
      <c r="C66" s="335"/>
      <c r="D66" s="335"/>
      <c r="E66" s="335"/>
      <c r="F66" s="335"/>
      <c r="G66" s="336" t="s">
        <v>105</v>
      </c>
      <c r="H66" s="337"/>
      <c r="I66" s="338"/>
      <c r="J66" s="339" t="s">
        <v>61</v>
      </c>
      <c r="K66" s="335"/>
      <c r="L66" s="335"/>
      <c r="M66" s="335"/>
      <c r="N66" s="335"/>
      <c r="O66" s="335"/>
      <c r="P66" s="335"/>
      <c r="Q66" s="335"/>
      <c r="R66" s="335"/>
      <c r="S66" s="340"/>
    </row>
    <row r="67" spans="1:16" ht="12">
      <c r="A67" s="131"/>
      <c r="B67" s="131"/>
      <c r="C67" s="131"/>
      <c r="D67" s="131"/>
      <c r="E67" s="131"/>
      <c r="F67" s="131"/>
      <c r="G67" s="131"/>
      <c r="H67" s="131"/>
      <c r="I67" s="131"/>
      <c r="J67" s="131"/>
      <c r="K67" s="131"/>
      <c r="L67" s="131"/>
      <c r="M67" s="131"/>
      <c r="N67" s="131"/>
      <c r="O67" s="131"/>
      <c r="P67" s="131"/>
    </row>
    <row r="68" spans="1:16" ht="12">
      <c r="A68" s="131"/>
      <c r="B68" s="131"/>
      <c r="C68" s="131"/>
      <c r="D68" s="131"/>
      <c r="E68" s="131"/>
      <c r="F68" s="131"/>
      <c r="G68" s="131"/>
      <c r="H68" s="131"/>
      <c r="I68" s="131"/>
      <c r="J68" s="131"/>
      <c r="K68" s="131"/>
      <c r="L68" s="131"/>
      <c r="M68" s="131"/>
      <c r="N68" s="131"/>
      <c r="O68" s="131"/>
      <c r="P68" s="131"/>
    </row>
    <row r="69" spans="1:16" ht="12">
      <c r="A69" s="131"/>
      <c r="B69" s="131"/>
      <c r="C69" s="131"/>
      <c r="D69" s="131"/>
      <c r="E69" s="131"/>
      <c r="F69" s="131"/>
      <c r="G69" s="131"/>
      <c r="H69" s="131"/>
      <c r="I69" s="131"/>
      <c r="J69" s="131"/>
      <c r="K69" s="131"/>
      <c r="L69" s="131"/>
      <c r="M69" s="131"/>
      <c r="N69" s="131"/>
      <c r="O69" s="131"/>
      <c r="P69" s="131"/>
    </row>
    <row r="70" spans="1:16" ht="12">
      <c r="A70" s="131"/>
      <c r="B70" s="131"/>
      <c r="C70" s="131"/>
      <c r="D70" s="131"/>
      <c r="E70" s="131"/>
      <c r="F70" s="131"/>
      <c r="G70" s="131"/>
      <c r="H70" s="131"/>
      <c r="I70" s="131"/>
      <c r="J70" s="131"/>
      <c r="K70" s="131"/>
      <c r="L70" s="131"/>
      <c r="M70" s="131"/>
      <c r="N70" s="131"/>
      <c r="O70" s="131"/>
      <c r="P70" s="131"/>
    </row>
    <row r="71" spans="1:16" ht="12">
      <c r="A71" s="131"/>
      <c r="B71" s="131"/>
      <c r="C71" s="131"/>
      <c r="D71" s="131"/>
      <c r="E71" s="131"/>
      <c r="F71" s="131"/>
      <c r="G71" s="131"/>
      <c r="H71" s="131"/>
      <c r="I71" s="131"/>
      <c r="J71" s="131"/>
      <c r="K71" s="131"/>
      <c r="L71" s="131"/>
      <c r="M71" s="131"/>
      <c r="N71" s="131"/>
      <c r="O71" s="131"/>
      <c r="P71" s="131"/>
    </row>
    <row r="72" spans="1:16" ht="12">
      <c r="A72" s="131"/>
      <c r="B72" s="131"/>
      <c r="C72" s="131"/>
      <c r="D72" s="131"/>
      <c r="E72" s="131"/>
      <c r="F72" s="131"/>
      <c r="G72" s="131"/>
      <c r="H72" s="131"/>
      <c r="I72" s="131"/>
      <c r="J72" s="131"/>
      <c r="K72" s="131"/>
      <c r="L72" s="131"/>
      <c r="M72" s="131"/>
      <c r="N72" s="131"/>
      <c r="O72" s="131"/>
      <c r="P72" s="131"/>
    </row>
    <row r="73" spans="1:16" ht="12">
      <c r="A73" s="131"/>
      <c r="B73" s="131"/>
      <c r="C73" s="131"/>
      <c r="D73" s="131"/>
      <c r="E73" s="131"/>
      <c r="F73" s="131"/>
      <c r="G73" s="131"/>
      <c r="H73" s="131"/>
      <c r="I73" s="131"/>
      <c r="J73" s="131"/>
      <c r="K73" s="131"/>
      <c r="L73" s="131"/>
      <c r="M73" s="131"/>
      <c r="N73" s="131"/>
      <c r="O73" s="131"/>
      <c r="P73" s="131"/>
    </row>
    <row r="74" spans="1:16" ht="12">
      <c r="A74" s="131"/>
      <c r="B74" s="131"/>
      <c r="C74" s="131"/>
      <c r="D74" s="131"/>
      <c r="E74" s="131"/>
      <c r="F74" s="131"/>
      <c r="G74" s="131"/>
      <c r="H74" s="131"/>
      <c r="I74" s="131"/>
      <c r="J74" s="131"/>
      <c r="K74" s="131"/>
      <c r="L74" s="131"/>
      <c r="M74" s="131"/>
      <c r="N74" s="131"/>
      <c r="O74" s="131"/>
      <c r="P74" s="131"/>
    </row>
    <row r="75" spans="1:16" ht="12">
      <c r="A75" s="131"/>
      <c r="B75" s="131"/>
      <c r="C75" s="131"/>
      <c r="D75" s="131"/>
      <c r="E75" s="131"/>
      <c r="F75" s="131"/>
      <c r="G75" s="131"/>
      <c r="H75" s="131"/>
      <c r="I75" s="131"/>
      <c r="J75" s="131"/>
      <c r="K75" s="131"/>
      <c r="L75" s="131"/>
      <c r="M75" s="131"/>
      <c r="N75" s="131"/>
      <c r="O75" s="131"/>
      <c r="P75" s="131"/>
    </row>
    <row r="76" spans="1:16" ht="12">
      <c r="A76" s="131"/>
      <c r="B76" s="131"/>
      <c r="C76" s="131"/>
      <c r="D76" s="131"/>
      <c r="E76" s="131"/>
      <c r="F76" s="131"/>
      <c r="G76" s="131"/>
      <c r="H76" s="131"/>
      <c r="I76" s="131"/>
      <c r="J76" s="131"/>
      <c r="K76" s="131"/>
      <c r="L76" s="131"/>
      <c r="M76" s="131"/>
      <c r="N76" s="131"/>
      <c r="O76" s="131"/>
      <c r="P76" s="131"/>
    </row>
  </sheetData>
  <sheetProtection/>
  <dataValidations count="7">
    <dataValidation type="whole" allowBlank="1" showInputMessage="1" showErrorMessage="1" errorTitle="Error!" error="Should be a whole no. and cannot be greater than the Maturity Year!" sqref="I45 I52">
      <formula1>0</formula1>
      <formula2>I42</formula2>
    </dataValidation>
    <dataValidation type="whole" allowBlank="1" showInputMessage="1" showErrorMessage="1" errorTitle="Error!" error="Should be a whole no. and cannot be greater than the Maturity Year!" sqref="I60">
      <formula1>0</formula1>
      <formula2>I56</formula2>
    </dataValidation>
    <dataValidation type="whole" allowBlank="1" showInputMessage="1" showErrorMessage="1" errorTitle="Error!" error="Cannot be -ive or greater than Transaction Costs." sqref="C58">
      <formula1>0</formula1>
      <formula2>C16</formula2>
    </dataValidation>
    <dataValidation type="list" allowBlank="1" showInputMessage="1" showErrorMessage="1" sqref="N37:N38 I66">
      <formula1>"1,2,3,4,5,6,7,8,9,10"</formula1>
    </dataValidation>
    <dataValidation type="list" allowBlank="1" showInputMessage="1" showErrorMessage="1" sqref="N43 I59 I12:I13 I24:I25 I44 I32:I33 I38:I39 I51 I46 I61 I53">
      <formula1>"0,1"</formula1>
    </dataValidation>
    <dataValidation type="list" allowBlank="1" showInputMessage="1" showErrorMessage="1" sqref="I49 I56 I28 I21 I42 I9 I36">
      <formula1>"1,2,3,4,5,6,7,8,9,10,11,12,13,14,15,16,17,18,19,20,21,22,23,24,25"</formula1>
    </dataValidation>
    <dataValidation type="whole" operator="greaterThanOrEqual" allowBlank="1" showInputMessage="1" showErrorMessage="1" errorTitle="Error!" error="Cannot be -ive!" sqref="I65">
      <formula1>0</formula1>
    </dataValidation>
  </dataValidations>
  <hyperlinks>
    <hyperlink ref="L3" r:id="rId1" display="http://www.globaliconnect.com/excel_models.php"/>
  </hyperlinks>
  <printOptions/>
  <pageMargins left="0.7" right="0.7" top="0.75" bottom="0.75" header="0.3" footer="0.3"/>
  <pageSetup horizontalDpi="600" verticalDpi="600" orientation="portrait" r:id="rId5"/>
  <drawing r:id="rId4"/>
  <legacyDrawing r:id="rId3"/>
</worksheet>
</file>

<file path=xl/worksheets/sheet10.xml><?xml version="1.0" encoding="utf-8"?>
<worksheet xmlns="http://schemas.openxmlformats.org/spreadsheetml/2006/main" xmlns:r="http://schemas.openxmlformats.org/officeDocument/2006/relationships">
  <dimension ref="A2:AO92"/>
  <sheetViews>
    <sheetView zoomScalePageLayoutView="0" workbookViewId="0" topLeftCell="A1">
      <selection activeCell="H2" sqref="H2"/>
    </sheetView>
  </sheetViews>
  <sheetFormatPr defaultColWidth="9.140625" defaultRowHeight="12.75"/>
  <cols>
    <col min="1" max="1" width="16.00390625" style="8" customWidth="1"/>
    <col min="2" max="2" width="15.7109375" style="8" customWidth="1"/>
    <col min="3" max="3" width="2.8515625" style="8" customWidth="1"/>
    <col min="4" max="13" width="10.7109375" style="8" customWidth="1"/>
    <col min="14" max="16384" width="9.140625" style="8" customWidth="1"/>
  </cols>
  <sheetData>
    <row r="1" ht="12"/>
    <row r="2" spans="1:13" ht="15">
      <c r="A2" s="92" t="s">
        <v>334</v>
      </c>
      <c r="D2" s="202"/>
      <c r="E2" s="202"/>
      <c r="F2" s="202"/>
      <c r="G2" s="202"/>
      <c r="H2" s="202"/>
      <c r="I2" s="202"/>
      <c r="J2" s="202"/>
      <c r="K2" s="202"/>
      <c r="L2" s="202"/>
      <c r="M2" s="202"/>
    </row>
    <row r="3" spans="4:13" ht="12">
      <c r="D3" s="94"/>
      <c r="E3" s="94"/>
      <c r="F3" s="94"/>
      <c r="G3" s="94"/>
      <c r="H3" s="94"/>
      <c r="I3" s="94"/>
      <c r="J3" s="94"/>
      <c r="K3" s="94"/>
      <c r="L3" s="94"/>
      <c r="M3" s="94"/>
    </row>
    <row r="4" spans="1:16" ht="12">
      <c r="A4" s="8" t="s">
        <v>14</v>
      </c>
      <c r="C4" s="141"/>
      <c r="D4" s="142">
        <f>year1</f>
        <v>2010</v>
      </c>
      <c r="E4" s="143">
        <f>D4+1</f>
        <v>2011</v>
      </c>
      <c r="F4" s="143">
        <f aca="true" t="shared" si="0" ref="F4:M5">E4+1</f>
        <v>2012</v>
      </c>
      <c r="G4" s="143">
        <f t="shared" si="0"/>
        <v>2013</v>
      </c>
      <c r="H4" s="143">
        <f t="shared" si="0"/>
        <v>2014</v>
      </c>
      <c r="I4" s="143">
        <f t="shared" si="0"/>
        <v>2015</v>
      </c>
      <c r="J4" s="143">
        <f t="shared" si="0"/>
        <v>2016</v>
      </c>
      <c r="K4" s="143">
        <f t="shared" si="0"/>
        <v>2017</v>
      </c>
      <c r="L4" s="143">
        <f t="shared" si="0"/>
        <v>2018</v>
      </c>
      <c r="M4" s="143">
        <f t="shared" si="0"/>
        <v>2019</v>
      </c>
      <c r="P4" s="202"/>
    </row>
    <row r="5" spans="1:41" ht="12">
      <c r="A5" s="8" t="s">
        <v>70</v>
      </c>
      <c r="C5" s="141"/>
      <c r="D5" s="203">
        <v>1</v>
      </c>
      <c r="E5" s="145">
        <f>D5+1</f>
        <v>2</v>
      </c>
      <c r="F5" s="145">
        <f t="shared" si="0"/>
        <v>3</v>
      </c>
      <c r="G5" s="145">
        <f t="shared" si="0"/>
        <v>4</v>
      </c>
      <c r="H5" s="145">
        <f t="shared" si="0"/>
        <v>5</v>
      </c>
      <c r="I5" s="145">
        <f t="shared" si="0"/>
        <v>6</v>
      </c>
      <c r="J5" s="145">
        <f t="shared" si="0"/>
        <v>7</v>
      </c>
      <c r="K5" s="145">
        <f t="shared" si="0"/>
        <v>8</v>
      </c>
      <c r="L5" s="145">
        <f t="shared" si="0"/>
        <v>9</v>
      </c>
      <c r="M5" s="145">
        <f t="shared" si="0"/>
        <v>10</v>
      </c>
      <c r="N5" s="56"/>
      <c r="O5" s="56"/>
      <c r="P5" s="282"/>
      <c r="Q5" s="56"/>
      <c r="R5" s="56"/>
      <c r="S5" s="56"/>
      <c r="T5" s="56"/>
      <c r="U5" s="56"/>
      <c r="V5" s="56"/>
      <c r="W5" s="56"/>
      <c r="X5" s="56"/>
      <c r="Y5" s="56"/>
      <c r="Z5" s="56"/>
      <c r="AA5" s="56"/>
      <c r="AB5" s="56"/>
      <c r="AC5" s="56"/>
      <c r="AD5" s="56"/>
      <c r="AE5" s="56"/>
      <c r="AF5" s="56"/>
      <c r="AG5" s="56"/>
      <c r="AH5" s="56"/>
      <c r="AI5" s="56"/>
      <c r="AJ5" s="56"/>
      <c r="AK5" s="56"/>
      <c r="AL5" s="56"/>
      <c r="AM5" s="56"/>
      <c r="AN5" s="56"/>
      <c r="AO5" s="56"/>
    </row>
    <row r="6" spans="3:16" ht="12">
      <c r="C6" s="4"/>
      <c r="D6" s="200"/>
      <c r="E6" s="200"/>
      <c r="F6" s="200"/>
      <c r="G6" s="200"/>
      <c r="H6" s="200"/>
      <c r="I6" s="200"/>
      <c r="J6" s="200"/>
      <c r="K6" s="200"/>
      <c r="L6" s="200"/>
      <c r="M6" s="200"/>
      <c r="N6" s="94"/>
      <c r="P6" s="283"/>
    </row>
    <row r="7" spans="3:16" ht="12">
      <c r="C7" s="4"/>
      <c r="D7" s="200"/>
      <c r="E7" s="200"/>
      <c r="F7" s="200"/>
      <c r="G7" s="200"/>
      <c r="H7" s="200"/>
      <c r="I7" s="200"/>
      <c r="J7" s="200"/>
      <c r="K7" s="200"/>
      <c r="L7" s="200"/>
      <c r="M7" s="200"/>
      <c r="N7" s="94"/>
      <c r="P7" s="283"/>
    </row>
    <row r="8" spans="1:14" ht="12">
      <c r="A8" s="50" t="s">
        <v>342</v>
      </c>
      <c r="C8" s="4"/>
      <c r="D8" s="94"/>
      <c r="E8" s="94"/>
      <c r="F8" s="94"/>
      <c r="G8" s="94"/>
      <c r="H8" s="94"/>
      <c r="I8" s="94"/>
      <c r="J8" s="94"/>
      <c r="K8" s="94"/>
      <c r="L8" s="94"/>
      <c r="M8" s="94"/>
      <c r="N8" s="94"/>
    </row>
    <row r="9" spans="1:14" ht="12">
      <c r="A9" s="67" t="s">
        <v>373</v>
      </c>
      <c r="C9" s="4"/>
      <c r="D9" s="284">
        <f>IF(Bal_Sheet!F32&gt;0,(Bal_Sheet!F42+Bal_Sheet!F56+Bal_Sheet!F61)/Bal_Sheet!F32,"N/A")</f>
        <v>0.6832955391884158</v>
      </c>
      <c r="E9" s="284">
        <f>IF(Bal_Sheet!G32&gt;0,(Bal_Sheet!G42+Bal_Sheet!G56+Bal_Sheet!G61)/Bal_Sheet!G32,"N/A")</f>
        <v>0.6055087672725703</v>
      </c>
      <c r="F9" s="284">
        <f>IF(Bal_Sheet!H32&gt;0,(Bal_Sheet!H42+Bal_Sheet!H56+Bal_Sheet!H61)/Bal_Sheet!H32,"N/A")</f>
        <v>0.5317016686325032</v>
      </c>
      <c r="G9" s="284">
        <f>IF(Bal_Sheet!I32&gt;0,(Bal_Sheet!I42+Bal_Sheet!I56+Bal_Sheet!I61)/Bal_Sheet!I32,"N/A")</f>
        <v>0.462380768059572</v>
      </c>
      <c r="H9" s="284">
        <f>IF(Bal_Sheet!J32&gt;0,(Bal_Sheet!J42+Bal_Sheet!J56+Bal_Sheet!J61)/Bal_Sheet!J32,"N/A")</f>
        <v>0.3989639792911986</v>
      </c>
      <c r="I9" s="284">
        <f>IF(Bal_Sheet!K32&gt;0,(Bal_Sheet!K42+Bal_Sheet!K56+Bal_Sheet!K61)/Bal_Sheet!K32,"N/A")</f>
        <v>0.34051045741369806</v>
      </c>
      <c r="J9" s="284">
        <f>IF(Bal_Sheet!L32&gt;0,(Bal_Sheet!L42+Bal_Sheet!L56+Bal_Sheet!L61)/Bal_Sheet!L32,"N/A")</f>
        <v>0.28878114625286755</v>
      </c>
      <c r="K9" s="284">
        <f>IF(Bal_Sheet!M32&gt;0,(Bal_Sheet!M42+Bal_Sheet!M56+Bal_Sheet!M61)/Bal_Sheet!M32,"N/A")</f>
        <v>0.2691212435224254</v>
      </c>
      <c r="L9" s="284">
        <f>IF(Bal_Sheet!N32&gt;0,(Bal_Sheet!N42+Bal_Sheet!N56+Bal_Sheet!N61)/Bal_Sheet!N32,"N/A")</f>
        <v>0.2636894505251213</v>
      </c>
      <c r="M9" s="284">
        <f>IF(Bal_Sheet!O32&gt;0,(Bal_Sheet!O42+Bal_Sheet!O56+Bal_Sheet!O61)/Bal_Sheet!O32,"N/A")</f>
        <v>0.24995873859335013</v>
      </c>
      <c r="N9" s="94"/>
    </row>
    <row r="10" spans="1:14" ht="12">
      <c r="A10" s="67" t="s">
        <v>335</v>
      </c>
      <c r="C10" s="4"/>
      <c r="D10" s="284">
        <f>IF(Bal_Sheet!F54+Bal_Sheet!F65&gt;0,(Bal_Sheet!F54+Bal_Sheet!F61)/(Bal_Sheet!F54+Bal_Sheet!F65),"N/A")</f>
        <v>0.6142471297356696</v>
      </c>
      <c r="E10" s="284">
        <f>IF(Bal_Sheet!G54+Bal_Sheet!G65&gt;0,(Bal_Sheet!G54+Bal_Sheet!G61)/(Bal_Sheet!G54+Bal_Sheet!G65),"N/A")</f>
        <v>0.5155595442226605</v>
      </c>
      <c r="F10" s="284">
        <f>IF(Bal_Sheet!H54+Bal_Sheet!H65&gt;0,(Bal_Sheet!H54+Bal_Sheet!H61)/(Bal_Sheet!H54+Bal_Sheet!H65),"N/A")</f>
        <v>0.42116816707929866</v>
      </c>
      <c r="G10" s="284">
        <f>IF(Bal_Sheet!I54+Bal_Sheet!I65&gt;0,(Bal_Sheet!I54+Bal_Sheet!I61)/(Bal_Sheet!I54+Bal_Sheet!I65),"N/A")</f>
        <v>0.3304142850748342</v>
      </c>
      <c r="H10" s="284">
        <f>IF(Bal_Sheet!J54+Bal_Sheet!J65&gt;0,(Bal_Sheet!J54+Bal_Sheet!J61)/(Bal_Sheet!J54+Bal_Sheet!J65),"N/A")</f>
        <v>0.24112347667554507</v>
      </c>
      <c r="I10" s="284">
        <f>IF(Bal_Sheet!K54+Bal_Sheet!K65&gt;0,(Bal_Sheet!K54+Bal_Sheet!K61)/(Bal_Sheet!K54+Bal_Sheet!K65),"N/A")</f>
        <v>0.15734548035955787</v>
      </c>
      <c r="J10" s="284">
        <f>IF(Bal_Sheet!L54+Bal_Sheet!L65&gt;0,(Bal_Sheet!L54+Bal_Sheet!L61)/(Bal_Sheet!L54+Bal_Sheet!L65),"N/A")</f>
        <v>0.08214706559262822</v>
      </c>
      <c r="K10" s="284">
        <f>IF(Bal_Sheet!M54+Bal_Sheet!M65&gt;0,(Bal_Sheet!M54+Bal_Sheet!M61)/(Bal_Sheet!M54+Bal_Sheet!M65),"N/A")</f>
        <v>0.042868986836085206</v>
      </c>
      <c r="L10" s="284">
        <f>IF(Bal_Sheet!N54+Bal_Sheet!N65&gt;0,(Bal_Sheet!N54+Bal_Sheet!N61)/(Bal_Sheet!N54+Bal_Sheet!N65),"N/A")</f>
        <v>0.036803473149200204</v>
      </c>
      <c r="M10" s="284">
        <f>IF(Bal_Sheet!O54+Bal_Sheet!O65&gt;0,(Bal_Sheet!O54+Bal_Sheet!O61)/(Bal_Sheet!O54+Bal_Sheet!O65),"N/A")</f>
        <v>0.03194536065817794</v>
      </c>
      <c r="N10" s="94"/>
    </row>
    <row r="11" spans="1:14" ht="12">
      <c r="A11" s="67" t="s">
        <v>336</v>
      </c>
      <c r="C11" s="4"/>
      <c r="D11" s="284">
        <f>IF(Bal_Sheet!F62+Bal_Sheet!F63&gt;0,(Bal_Sheet!F54+Bal_Sheet!F61)/(Bal_Sheet!F62+Bal_Sheet!F63),"N/A")</f>
        <v>1.5923332710778475</v>
      </c>
      <c r="E11" s="284">
        <f>IF(Bal_Sheet!G62+Bal_Sheet!G63&gt;0,(Bal_Sheet!G54+Bal_Sheet!G61)/(Bal_Sheet!G62+Bal_Sheet!G63),"N/A")</f>
        <v>1.0642371793565153</v>
      </c>
      <c r="F11" s="284">
        <f>IF(Bal_Sheet!H62+Bal_Sheet!H63&gt;0,(Bal_Sheet!H54+Bal_Sheet!H61)/(Bal_Sheet!H62+Bal_Sheet!H63),"N/A")</f>
        <v>0.7276174928979723</v>
      </c>
      <c r="G11" s="284">
        <f>IF(Bal_Sheet!I62+Bal_Sheet!I63&gt;0,(Bal_Sheet!I54+Bal_Sheet!I61)/(Bal_Sheet!I62+Bal_Sheet!I63),"N/A")</f>
        <v>0.4934607738932454</v>
      </c>
      <c r="H11" s="284">
        <f>IF(Bal_Sheet!J62+Bal_Sheet!J63&gt;0,(Bal_Sheet!J54+Bal_Sheet!J61)/(Bal_Sheet!J62+Bal_Sheet!J63),"N/A")</f>
        <v>0.31773743061551213</v>
      </c>
      <c r="I11" s="284">
        <f>IF(Bal_Sheet!K62+Bal_Sheet!K63&gt;0,(Bal_Sheet!K54+Bal_Sheet!K61)/(Bal_Sheet!K62+Bal_Sheet!K63),"N/A")</f>
        <v>0.1867259673949137</v>
      </c>
      <c r="J11" s="284">
        <f>IF(Bal_Sheet!L62+Bal_Sheet!L63&gt;0,(Bal_Sheet!L54+Bal_Sheet!L61)/(Bal_Sheet!L62+Bal_Sheet!L63),"N/A")</f>
        <v>0.08949915886652139</v>
      </c>
      <c r="K11" s="284">
        <f>IF(Bal_Sheet!M62+Bal_Sheet!M63&gt;0,(Bal_Sheet!M54+Bal_Sheet!M61)/(Bal_Sheet!M62+Bal_Sheet!M63),"N/A")</f>
        <v>0.04478904794274346</v>
      </c>
      <c r="L11" s="284">
        <f>IF(Bal_Sheet!N62+Bal_Sheet!N63&gt;0,(Bal_Sheet!N54+Bal_Sheet!N61)/(Bal_Sheet!N62+Bal_Sheet!N63),"N/A")</f>
        <v>0.03820972368902769</v>
      </c>
      <c r="M11" s="284">
        <f>IF(Bal_Sheet!O62+Bal_Sheet!O63&gt;0,(Bal_Sheet!O54+Bal_Sheet!O61)/(Bal_Sheet!O62+Bal_Sheet!O63),"N/A")</f>
        <v>0.032999542959576654</v>
      </c>
      <c r="N11" s="94"/>
    </row>
    <row r="12" spans="3:14" ht="12">
      <c r="C12" s="4"/>
      <c r="D12" s="284"/>
      <c r="E12" s="284"/>
      <c r="F12" s="284"/>
      <c r="G12" s="284"/>
      <c r="H12" s="284"/>
      <c r="I12" s="284"/>
      <c r="J12" s="284"/>
      <c r="K12" s="284"/>
      <c r="L12" s="284"/>
      <c r="M12" s="284"/>
      <c r="N12" s="284"/>
    </row>
    <row r="13" spans="3:14" ht="12">
      <c r="C13" s="4"/>
      <c r="D13" s="284"/>
      <c r="E13" s="284"/>
      <c r="F13" s="284"/>
      <c r="G13" s="284"/>
      <c r="H13" s="284"/>
      <c r="I13" s="284"/>
      <c r="J13" s="284"/>
      <c r="K13" s="284"/>
      <c r="L13" s="284"/>
      <c r="M13" s="284"/>
      <c r="N13" s="284"/>
    </row>
    <row r="14" spans="1:14" ht="12">
      <c r="A14" s="50" t="s">
        <v>341</v>
      </c>
      <c r="C14" s="4"/>
      <c r="D14" s="284"/>
      <c r="E14" s="284"/>
      <c r="F14" s="284"/>
      <c r="G14" s="284"/>
      <c r="H14" s="284"/>
      <c r="I14" s="284"/>
      <c r="J14" s="284"/>
      <c r="K14" s="284"/>
      <c r="L14" s="284"/>
      <c r="M14" s="284"/>
      <c r="N14" s="284"/>
    </row>
    <row r="15" spans="1:14" ht="12">
      <c r="A15" s="67" t="s">
        <v>337</v>
      </c>
      <c r="C15" s="4"/>
      <c r="D15" s="284">
        <f>IF(Inc_St!D18&lt;&gt;0,(Bal_Sheet!F54+Bal_Sheet!F61)/Inc_St!D18,"N/A")</f>
        <v>2.071719077794204</v>
      </c>
      <c r="E15" s="284">
        <f>IF(Inc_St!E18&lt;&gt;0,(Bal_Sheet!G54+Bal_Sheet!G61)/Inc_St!E18,"N/A")</f>
        <v>1.7085524806233283</v>
      </c>
      <c r="F15" s="284">
        <f>IF(Inc_St!F18&lt;&gt;0,(Bal_Sheet!H54+Bal_Sheet!H61)/Inc_St!F18,"N/A")</f>
        <v>1.3772738794690365</v>
      </c>
      <c r="G15" s="284">
        <f>IF(Inc_St!G18&lt;&gt;0,(Bal_Sheet!I54+Bal_Sheet!I61)/Inc_St!G18,"N/A")</f>
        <v>1.0680784799729528</v>
      </c>
      <c r="H15" s="284">
        <f>IF(Inc_St!H18&lt;&gt;0,(Bal_Sheet!J54+Bal_Sheet!J61)/Inc_St!H18,"N/A")</f>
        <v>0.7670765704433835</v>
      </c>
      <c r="I15" s="284">
        <f>IF(Inc_St!I18&lt;&gt;0,(Bal_Sheet!K54+Bal_Sheet!K61)/Inc_St!I18,"N/A")</f>
        <v>0.4950243077637178</v>
      </c>
      <c r="J15" s="284">
        <f>IF(Inc_St!J18&lt;&gt;0,(Bal_Sheet!L54+Bal_Sheet!L61)/Inc_St!J18,"N/A")</f>
        <v>0.26181835458539054</v>
      </c>
      <c r="K15" s="284">
        <f>IF(Inc_St!K18&lt;&gt;0,(Bal_Sheet!M54+Bal_Sheet!M61)/Inc_St!K18,"N/A")</f>
        <v>0.1423290752886659</v>
      </c>
      <c r="L15" s="284">
        <f>IF(Inc_St!L18&lt;&gt;0,(Bal_Sheet!N54+Bal_Sheet!N61)/Inc_St!L18,"N/A")</f>
        <v>0.13035968943829665</v>
      </c>
      <c r="M15" s="284">
        <f>IF(Inc_St!M18&lt;&gt;0,(Bal_Sheet!O54+Bal_Sheet!O61)/Inc_St!M18,"N/A")</f>
        <v>0.11940656342405612</v>
      </c>
      <c r="N15" s="284"/>
    </row>
    <row r="16" spans="1:14" ht="12">
      <c r="A16" s="67" t="s">
        <v>340</v>
      </c>
      <c r="C16" s="4"/>
      <c r="D16" s="284">
        <f>IF(Inc_St!D18+Cash_Flow!D30&lt;&gt;0,(Bal_Sheet!F54+Bal_Sheet!F61)/(Inc_St!D18+Cash_Flow!D30),"N/A")</f>
        <v>3.1620975397911533</v>
      </c>
      <c r="E16" s="284">
        <f>IF(Inc_St!E18+Cash_Flow!E30&lt;&gt;0,(Bal_Sheet!G54+Bal_Sheet!G61)/(Inc_St!E18+Cash_Flow!E30),"N/A")</f>
        <v>2.6173811625687677</v>
      </c>
      <c r="F16" s="284">
        <f>IF(Inc_St!F18+Cash_Flow!F30&lt;&gt;0,(Bal_Sheet!H54+Bal_Sheet!H61)/(Inc_St!F18+Cash_Flow!F30),"N/A")</f>
        <v>2.11780972830031</v>
      </c>
      <c r="G16" s="284">
        <f>IF(Inc_St!G18+Cash_Flow!G30&lt;&gt;0,(Bal_Sheet!I54+Bal_Sheet!I61)/(Inc_St!G18+Cash_Flow!G30),"N/A")</f>
        <v>1.6486656344681294</v>
      </c>
      <c r="H16" s="284">
        <f>IF(Inc_St!H18+Cash_Flow!H30&lt;&gt;0,(Bal_Sheet!J54+Bal_Sheet!J61)/(Inc_St!H18+Cash_Flow!H30),"N/A")</f>
        <v>1.1886852668810224</v>
      </c>
      <c r="I16" s="284">
        <f>IF(Inc_St!I18+Cash_Flow!I30&lt;&gt;0,(Bal_Sheet!K54+Bal_Sheet!K61)/(Inc_St!I18+Cash_Flow!I30),"N/A")</f>
        <v>0.770177031546004</v>
      </c>
      <c r="J16" s="284">
        <f>IF(Inc_St!J18+Cash_Flow!J30&lt;&gt;0,(Bal_Sheet!L54+Bal_Sheet!L61)/(Inc_St!J18+Cash_Flow!J30),"N/A")</f>
        <v>0.4090141901271532</v>
      </c>
      <c r="K16" s="284">
        <f>IF(Inc_St!K18+Cash_Flow!K30&lt;&gt;0,(Bal_Sheet!M54+Bal_Sheet!M61)/(Inc_St!K18+Cash_Flow!K30),"N/A")</f>
        <v>0.22327794718761157</v>
      </c>
      <c r="L16" s="284">
        <f>IF(Inc_St!L18+Cash_Flow!L30&lt;&gt;0,(Bal_Sheet!N54+Bal_Sheet!N61)/(Inc_St!L18+Cash_Flow!L30),"N/A")</f>
        <v>0.20537636326860947</v>
      </c>
      <c r="M16" s="284">
        <f>IF(Inc_St!M18+Cash_Flow!M30&lt;&gt;0,(Bal_Sheet!O54+Bal_Sheet!O61)/(Inc_St!M18+Cash_Flow!M30),"N/A")</f>
        <v>0.18894383291476993</v>
      </c>
      <c r="N16" s="284"/>
    </row>
    <row r="17" spans="1:14" ht="12">
      <c r="A17" s="67" t="s">
        <v>339</v>
      </c>
      <c r="C17" s="4"/>
      <c r="D17" s="284">
        <f>IF(Inc_St!D18&lt;&gt;0,(Bal_Sheet!F54+Bal_Sheet!F61-Bal_Sheet!F10)/Inc_St!D18,"N/A")</f>
        <v>1.9149792658819782</v>
      </c>
      <c r="E17" s="284">
        <f>IF(Inc_St!E18&lt;&gt;0,(Bal_Sheet!G54+Bal_Sheet!G61-Bal_Sheet!G10)/Inc_St!E18,"N/A")</f>
        <v>1.5650697324867746</v>
      </c>
      <c r="F17" s="284">
        <f>IF(Inc_St!F18&lt;&gt;0,(Bal_Sheet!H54+Bal_Sheet!H61-Bal_Sheet!H10)/Inc_St!F18,"N/A")</f>
        <v>1.2459175219100223</v>
      </c>
      <c r="G17" s="284">
        <f>IF(Inc_St!G18&lt;&gt;0,(Bal_Sheet!I54+Bal_Sheet!I61-Bal_Sheet!I10)/Inc_St!G18,"N/A")</f>
        <v>0.947814907347369</v>
      </c>
      <c r="H17" s="284">
        <f>IF(Inc_St!H18&lt;&gt;0,(Bal_Sheet!J54+Bal_Sheet!J61-Bal_Sheet!J10)/Inc_St!H18,"N/A")</f>
        <v>0.6569608666069082</v>
      </c>
      <c r="I17" s="284">
        <f>IF(Inc_St!I18&lt;&gt;0,(Bal_Sheet!K54+Bal_Sheet!K61-Bal_Sheet!K10)/Inc_St!I18,"N/A")</f>
        <v>0.394192594406455</v>
      </c>
      <c r="J17" s="284">
        <f>IF(Inc_St!J18&lt;&gt;0,(Bal_Sheet!L54+Bal_Sheet!L61-Bal_Sheet!L10)/Inc_St!J18,"N/A")</f>
        <v>0.16948080273355204</v>
      </c>
      <c r="K17" s="284">
        <f>IF(Inc_St!K18&lt;&gt;0,(Bal_Sheet!M54+Bal_Sheet!M61-Bal_Sheet!M10)/Inc_St!K18,"N/A")</f>
        <v>-0.08486282154523066</v>
      </c>
      <c r="L17" s="284">
        <f>IF(Inc_St!L18&lt;&gt;0,(Bal_Sheet!N54+Bal_Sheet!N61-Bal_Sheet!N10)/Inc_St!L18,"N/A")</f>
        <v>-0.27780058056385637</v>
      </c>
      <c r="M17" s="284">
        <f>IF(Inc_St!M18&lt;&gt;0,(Bal_Sheet!O54+Bal_Sheet!O61-Bal_Sheet!O10)/Inc_St!M18,"N/A")</f>
        <v>-0.3813163157513488</v>
      </c>
      <c r="N17" s="284"/>
    </row>
    <row r="18" spans="1:14" ht="12">
      <c r="A18" s="67" t="s">
        <v>338</v>
      </c>
      <c r="C18" s="4"/>
      <c r="D18" s="284">
        <f>IF(Inc_St!D18&lt;&gt;0,SUM(Bal_Sheet!F46:F50)/Inc_St!D18,"N/A")</f>
        <v>1.4390226011488096</v>
      </c>
      <c r="E18" s="284">
        <f>IF(Inc_St!E18&lt;&gt;0,SUM(Bal_Sheet!G46:G50)/Inc_St!E18,"N/A")</f>
        <v>1.108645290570151</v>
      </c>
      <c r="F18" s="284">
        <f>IF(Inc_St!F18&lt;&gt;0,SUM(Bal_Sheet!H46:H50)/Inc_St!F18,"N/A")</f>
        <v>0.808003229594445</v>
      </c>
      <c r="G18" s="284">
        <f>IF(Inc_St!G18&lt;&gt;0,SUM(Bal_Sheet!I46:I50)/Inc_St!G18,"N/A")</f>
        <v>0.5274510755119377</v>
      </c>
      <c r="H18" s="284">
        <f>IF(Inc_St!H18&lt;&gt;0,SUM(Bal_Sheet!J46:J50)/Inc_St!H18,"N/A")</f>
        <v>0.47012893733422545</v>
      </c>
      <c r="I18" s="284">
        <f>IF(Inc_St!I18&lt;&gt;0,SUM(Bal_Sheet!K46:K50)/Inc_St!I18,"N/A")</f>
        <v>0.3253182748693073</v>
      </c>
      <c r="J18" s="284">
        <f>IF(Inc_St!J18&lt;&gt;0,SUM(Bal_Sheet!L46:L50)/Inc_St!J18,"N/A")</f>
        <v>0.10640852279531414</v>
      </c>
      <c r="K18" s="284">
        <f>IF(Inc_St!K18&lt;&gt;0,SUM(Bal_Sheet!M46:M50)/Inc_St!K18,"N/A")</f>
        <v>1.9689452139720779E-16</v>
      </c>
      <c r="L18" s="284">
        <f>IF(Inc_St!L18&lt;&gt;0,SUM(Bal_Sheet!N46:N50)/Inc_St!L18,"N/A")</f>
        <v>8.115136611562544E-16</v>
      </c>
      <c r="M18" s="284">
        <f>IF(Inc_St!M18&lt;&gt;0,SUM(Bal_Sheet!O46:O50)/Inc_St!M18,"N/A")</f>
        <v>2.4777612841278756E-16</v>
      </c>
      <c r="N18" s="284"/>
    </row>
    <row r="19" spans="3:14" ht="12">
      <c r="C19" s="4"/>
      <c r="D19" s="284"/>
      <c r="E19" s="284"/>
      <c r="F19" s="284"/>
      <c r="G19" s="284"/>
      <c r="H19" s="284"/>
      <c r="I19" s="284"/>
      <c r="J19" s="284"/>
      <c r="K19" s="284"/>
      <c r="L19" s="284"/>
      <c r="M19" s="284"/>
      <c r="N19" s="284"/>
    </row>
    <row r="20" spans="3:14" ht="12">
      <c r="C20" s="4"/>
      <c r="D20" s="284"/>
      <c r="E20" s="284"/>
      <c r="F20" s="284"/>
      <c r="G20" s="284"/>
      <c r="H20" s="284"/>
      <c r="I20" s="284"/>
      <c r="J20" s="284"/>
      <c r="K20" s="284"/>
      <c r="L20" s="284"/>
      <c r="M20" s="284"/>
      <c r="N20" s="284"/>
    </row>
    <row r="21" spans="1:14" ht="12">
      <c r="A21" s="50" t="s">
        <v>343</v>
      </c>
      <c r="C21" s="4"/>
      <c r="D21" s="284"/>
      <c r="E21" s="284"/>
      <c r="F21" s="284"/>
      <c r="G21" s="284"/>
      <c r="H21" s="284"/>
      <c r="I21" s="284"/>
      <c r="J21" s="284"/>
      <c r="K21" s="284"/>
      <c r="L21" s="284"/>
      <c r="M21" s="284"/>
      <c r="N21" s="284"/>
    </row>
    <row r="22" spans="1:14" ht="12">
      <c r="A22" s="67" t="s">
        <v>345</v>
      </c>
      <c r="C22" s="4"/>
      <c r="D22" s="284">
        <f>IF(Inc_St!D24+Inc_St!D46&gt;0,Inc_St!D18/(Inc_St!D24+Inc_St!D46),"N/A")</f>
        <v>8.797290762289991</v>
      </c>
      <c r="E22" s="284">
        <f>IF(Inc_St!E24+Inc_St!E46&gt;0,Inc_St!E18/(Inc_St!E24+Inc_St!E46),"N/A")</f>
        <v>9.95563117198553</v>
      </c>
      <c r="F22" s="284">
        <f>IF(Inc_St!F24+Inc_St!F46&gt;0,Inc_St!F18/(Inc_St!F24+Inc_St!F46),"N/A")</f>
        <v>12.029287804430266</v>
      </c>
      <c r="G22" s="284">
        <f>IF(Inc_St!G24+Inc_St!G46&gt;0,Inc_St!G18/(Inc_St!G24+Inc_St!G46),"N/A")</f>
        <v>14.889054020214127</v>
      </c>
      <c r="H22" s="284">
        <f>IF(Inc_St!H24+Inc_St!H46&gt;0,Inc_St!H18/(Inc_St!H24+Inc_St!H46),"N/A")</f>
        <v>17.300139824680468</v>
      </c>
      <c r="I22" s="284">
        <f>IF(Inc_St!I24+Inc_St!I46&gt;0,Inc_St!I18/(Inc_St!I24+Inc_St!I46),"N/A")</f>
        <v>22.59115050749674</v>
      </c>
      <c r="J22" s="284">
        <f>IF(Inc_St!J24+Inc_St!J46&gt;0,Inc_St!J18/(Inc_St!J24+Inc_St!J46),"N/A")</f>
        <v>30.18326906278899</v>
      </c>
      <c r="K22" s="284">
        <f>IF(Inc_St!K24+Inc_St!K46&gt;0,Inc_St!K18/(Inc_St!K24+Inc_St!K46),"N/A")</f>
        <v>42.07805270379715</v>
      </c>
      <c r="L22" s="284">
        <f>IF(Inc_St!L24+Inc_St!L46&gt;0,Inc_St!L18/(Inc_St!L24+Inc_St!L46),"N/A")</f>
        <v>54.28986589033242</v>
      </c>
      <c r="M22" s="284">
        <f>IF(Inc_St!M24+Inc_St!M46&gt;0,Inc_St!M18/(Inc_St!M24+Inc_St!M46),"N/A")</f>
        <v>59.26985798910116</v>
      </c>
      <c r="N22" s="284"/>
    </row>
    <row r="23" spans="1:14" ht="12">
      <c r="A23" s="67" t="s">
        <v>344</v>
      </c>
      <c r="C23" s="4"/>
      <c r="D23" s="284">
        <f>IF(SUM(Inc_St!D25:D29)&gt;0,Inc_St!D18/SUM(Inc_St!D25:D29),"N/A")</f>
        <v>12.335863873677704</v>
      </c>
      <c r="E23" s="284">
        <f>IF(SUM(Inc_St!E25:E29)&gt;0,Inc_St!E18/SUM(Inc_St!E25:E29),"N/A")</f>
        <v>14.394148656592424</v>
      </c>
      <c r="F23" s="284">
        <f>IF(SUM(Inc_St!F25:F29)&gt;0,Inc_St!F18/SUM(Inc_St!F25:F29),"N/A")</f>
        <v>18.62771372303713</v>
      </c>
      <c r="G23" s="284">
        <f>IF(SUM(Inc_St!G25:G29)&gt;0,Inc_St!G18/SUM(Inc_St!G25:G29),"N/A")</f>
        <v>25.547585347453357</v>
      </c>
      <c r="H23" s="284">
        <f>IF(SUM(Inc_St!H25:H29)&gt;0,Inc_St!H18/SUM(Inc_St!H25:H29),"N/A")</f>
        <v>32.13775212361365</v>
      </c>
      <c r="I23" s="284">
        <f>IF(SUM(Inc_St!I25:I29)&gt;0,Inc_St!I18/SUM(Inc_St!I25:I29),"N/A")</f>
        <v>35.40669302850815</v>
      </c>
      <c r="J23" s="284">
        <f>IF(SUM(Inc_St!J25:J29)&gt;0,Inc_St!J18/SUM(Inc_St!J25:J29),"N/A")</f>
        <v>44.93927732622538</v>
      </c>
      <c r="K23" s="284">
        <f>IF(SUM(Inc_St!K25:K29)&gt;0,Inc_St!K18/SUM(Inc_St!K25:K29),"N/A")</f>
        <v>72.45157182914762</v>
      </c>
      <c r="L23" s="284">
        <f>IF(SUM(Inc_St!L25:L29)&gt;0,Inc_St!L18/SUM(Inc_St!L25:L29),"N/A")</f>
        <v>107.59090764510138</v>
      </c>
      <c r="M23" s="284">
        <f>IF(SUM(Inc_St!M25:M29)&gt;0,Inc_St!M18/SUM(Inc_St!M25:M29),"N/A")</f>
        <v>117.46018731977021</v>
      </c>
      <c r="N23" s="284"/>
    </row>
    <row r="24" spans="1:14" ht="12">
      <c r="A24" s="67" t="s">
        <v>346</v>
      </c>
      <c r="C24" s="4"/>
      <c r="D24" s="284">
        <f>IF(Inc_St!D24+Inc_St!D46-SUM(Cash_Flow!D15:D18)&gt;0,Inc_St!D18/(Inc_St!D24+Inc_St!D46-SUM(Cash_Flow!D15:D18)),"N/A")</f>
        <v>12.335863873677706</v>
      </c>
      <c r="E24" s="284">
        <f>IF(Inc_St!E24+Inc_St!E46-SUM(Cash_Flow!E15:E18)&gt;0,Inc_St!E18/(Inc_St!E24+Inc_St!E46-SUM(Cash_Flow!E15:E18)),"N/A")</f>
        <v>14.394148656592424</v>
      </c>
      <c r="F24" s="284">
        <f>IF(Inc_St!F24+Inc_St!F46-SUM(Cash_Flow!F15:F18)&gt;0,Inc_St!F18/(Inc_St!F24+Inc_St!F46-SUM(Cash_Flow!F15:F18)),"N/A")</f>
        <v>18.627713723037125</v>
      </c>
      <c r="G24" s="284">
        <f>IF(Inc_St!G24+Inc_St!G46-SUM(Cash_Flow!G15:G18)&gt;0,Inc_St!G18/(Inc_St!G24+Inc_St!G46-SUM(Cash_Flow!G15:G18)),"N/A")</f>
        <v>25.547585347453346</v>
      </c>
      <c r="H24" s="284">
        <f>IF(Inc_St!H24+Inc_St!H46-SUM(Cash_Flow!H15:H18)&gt;0,Inc_St!H18/(Inc_St!H24+Inc_St!H46-SUM(Cash_Flow!H15:H18)),"N/A")</f>
        <v>32.13775212361364</v>
      </c>
      <c r="I24" s="284">
        <f>IF(Inc_St!I24+Inc_St!I46-SUM(Cash_Flow!I15:I18)&gt;0,Inc_St!I18/(Inc_St!I24+Inc_St!I46-SUM(Cash_Flow!I15:I18)),"N/A")</f>
        <v>22.59115050749674</v>
      </c>
      <c r="J24" s="284">
        <f>IF(Inc_St!J24+Inc_St!J46-SUM(Cash_Flow!J15:J18)&gt;0,Inc_St!J18/(Inc_St!J24+Inc_St!J46-SUM(Cash_Flow!J15:J18)),"N/A")</f>
        <v>30.18326906278899</v>
      </c>
      <c r="K24" s="284">
        <f>IF(Inc_St!K24+Inc_St!K46-SUM(Cash_Flow!K15:K18)&gt;0,Inc_St!K18/(Inc_St!K24+Inc_St!K46-SUM(Cash_Flow!K15:K18)),"N/A")</f>
        <v>42.07805270379715</v>
      </c>
      <c r="L24" s="284">
        <f>IF(Inc_St!L24+Inc_St!L46-SUM(Cash_Flow!L15:L18)&gt;0,Inc_St!L18/(Inc_St!L24+Inc_St!L46-SUM(Cash_Flow!L15:L18)),"N/A")</f>
        <v>54.28986589033242</v>
      </c>
      <c r="M24" s="284">
        <f>IF(Inc_St!M24+Inc_St!M46-SUM(Cash_Flow!M15:M18)&gt;0,Inc_St!M18/(Inc_St!M24+Inc_St!M46-SUM(Cash_Flow!M15:M18)),"N/A")</f>
        <v>59.26985798910116</v>
      </c>
      <c r="N24" s="284"/>
    </row>
    <row r="25" spans="1:14" ht="12">
      <c r="A25" s="67"/>
      <c r="C25" s="4"/>
      <c r="D25" s="284"/>
      <c r="E25" s="284"/>
      <c r="F25" s="284"/>
      <c r="G25" s="284"/>
      <c r="H25" s="284"/>
      <c r="I25" s="284"/>
      <c r="J25" s="284"/>
      <c r="K25" s="284"/>
      <c r="L25" s="284"/>
      <c r="M25" s="284"/>
      <c r="N25" s="284"/>
    </row>
    <row r="26" spans="1:14" ht="12">
      <c r="A26" s="67" t="s">
        <v>347</v>
      </c>
      <c r="C26" s="4"/>
      <c r="D26" s="284">
        <f>IF(Inc_St!D24+Inc_St!D46&gt;0,(Inc_St!D18+Cash_Flow!D30)/(Inc_St!D24+Inc_St!D46),"N/A")</f>
        <v>5.763742223569305</v>
      </c>
      <c r="E26" s="284">
        <f>IF(Inc_St!E24+Inc_St!E46&gt;0,(Inc_St!E18+Cash_Flow!E30)/(Inc_St!E24+Inc_St!E46),"N/A")</f>
        <v>6.498754777608707</v>
      </c>
      <c r="F26" s="284">
        <f>IF(Inc_St!F24+Inc_St!F46&gt;0,(Inc_St!F18+Cash_Flow!F30)/(Inc_St!F24+Inc_St!F46),"N/A")</f>
        <v>7.8229992337196</v>
      </c>
      <c r="G26" s="284">
        <f>IF(Inc_St!G24+Inc_St!G46&gt;0,(Inc_St!G18+Cash_Flow!G30)/(Inc_St!G24+Inc_St!G46),"N/A")</f>
        <v>9.645787389312448</v>
      </c>
      <c r="H26" s="284">
        <f>IF(Inc_St!H24+Inc_St!H46&gt;0,(Inc_St!H18+Cash_Flow!H30)/(Inc_St!H24+Inc_St!H46),"N/A")</f>
        <v>11.164041731355253</v>
      </c>
      <c r="I26" s="284">
        <f>IF(Inc_St!I24+Inc_St!I46&gt;0,(Inc_St!I18+Cash_Flow!I30)/(Inc_St!I24+Inc_St!I46),"N/A")</f>
        <v>14.52025727008654</v>
      </c>
      <c r="J26" s="284">
        <f>IF(Inc_St!J24+Inc_St!J46&gt;0,(Inc_St!J18+Cash_Flow!J30)/(Inc_St!J24+Inc_St!J46),"N/A")</f>
        <v>19.320928302196116</v>
      </c>
      <c r="K26" s="284">
        <f>IF(Inc_St!K24+Inc_St!K46&gt;0,(Inc_St!K18+Cash_Flow!K30)/(Inc_St!K24+Inc_St!K46),"N/A")</f>
        <v>26.822757942354855</v>
      </c>
      <c r="L26" s="284">
        <f>IF(Inc_St!L24+Inc_St!L46&gt;0,(Inc_St!L18+Cash_Flow!L30)/(Inc_St!L24+Inc_St!L46),"N/A")</f>
        <v>34.45971067203242</v>
      </c>
      <c r="M26" s="284">
        <f>IF(Inc_St!M24+Inc_St!M46&gt;0,(Inc_St!M18+Cash_Flow!M30)/(Inc_St!M24+Inc_St!M46),"N/A")</f>
        <v>37.4566872489712</v>
      </c>
      <c r="N26" s="284"/>
    </row>
    <row r="27" spans="1:14" ht="12">
      <c r="A27" s="67" t="s">
        <v>348</v>
      </c>
      <c r="C27" s="4"/>
      <c r="D27" s="284">
        <f>IF(SUM(Inc_St!D25:D29)&gt;0,(Inc_St!D18+Cash_Flow!D30)/SUM(Inc_St!D25:D29),"N/A")</f>
        <v>8.082117710340563</v>
      </c>
      <c r="E27" s="284">
        <f>IF(SUM(Inc_St!E25:E29)&gt;0,(Inc_St!E18+Cash_Flow!E30)/SUM(Inc_St!E25:E29),"N/A")</f>
        <v>9.396093601264234</v>
      </c>
      <c r="F27" s="284">
        <f>IF(SUM(Inc_St!F25:F29)&gt;0,(Inc_St!F18+Cash_Flow!F30)/SUM(Inc_St!F25:F29),"N/A")</f>
        <v>12.114149445123312</v>
      </c>
      <c r="G27" s="284">
        <f>IF(SUM(Inc_St!G25:G29)&gt;0,(Inc_St!G18+Cash_Flow!G30)/SUM(Inc_St!G25:G29),"N/A")</f>
        <v>16.550855160931512</v>
      </c>
      <c r="H27" s="284">
        <f>IF(SUM(Inc_St!H25:H29)&gt;0,(Inc_St!H18+Cash_Flow!H30)/SUM(Inc_St!H25:H29),"N/A")</f>
        <v>20.7389772276942</v>
      </c>
      <c r="I27" s="284">
        <f>IF(SUM(Inc_St!I25:I29)&gt;0,(Inc_St!I18+Cash_Flow!I30)/SUM(Inc_St!I25:I29),"N/A")</f>
        <v>22.757331092381158</v>
      </c>
      <c r="J27" s="284">
        <f>IF(SUM(Inc_St!J25:J29)&gt;0,(Inc_St!J18+Cash_Flow!J30)/SUM(Inc_St!J25:J29),"N/A")</f>
        <v>28.766551209754162</v>
      </c>
      <c r="K27" s="284">
        <f>IF(SUM(Inc_St!K25:K29)&gt;0,(Inc_St!K18+Cash_Flow!K30)/SUM(Inc_St!K25:K29),"N/A")</f>
        <v>46.18443223588133</v>
      </c>
      <c r="L27" s="284">
        <f>IF(SUM(Inc_St!L25:L29)&gt;0,(Inc_St!L18+Cash_Flow!L30)/SUM(Inc_St!L25:L29),"N/A")</f>
        <v>68.29177946176821</v>
      </c>
      <c r="M27" s="284">
        <f>IF(SUM(Inc_St!M25:M29)&gt;0,(Inc_St!M18+Cash_Flow!M30)/SUM(Inc_St!M25:M29),"N/A")</f>
        <v>74.23114631810385</v>
      </c>
      <c r="N27" s="284"/>
    </row>
    <row r="28" spans="1:14" ht="12">
      <c r="A28" s="67" t="s">
        <v>349</v>
      </c>
      <c r="C28" s="4"/>
      <c r="D28" s="284">
        <f>IF(Inc_St!D24+Inc_St!D46-SUM(Cash_Flow!D15:D18)&gt;0,(Inc_St!D18+Cash_Flow!D30)/(Inc_St!D24+Inc_St!D46-SUM(Cash_Flow!D15:D18)),"N/A")</f>
        <v>8.082117710340565</v>
      </c>
      <c r="E28" s="284">
        <f>IF(Inc_St!E24+Inc_St!E46-SUM(Cash_Flow!E15:E18)&gt;0,(Inc_St!E18+Cash_Flow!E30)/(Inc_St!E24+Inc_St!E46-SUM(Cash_Flow!E15:E18)),"N/A")</f>
        <v>9.396093601264234</v>
      </c>
      <c r="F28" s="284">
        <f>IF(Inc_St!F24+Inc_St!F46-SUM(Cash_Flow!F15:F18)&gt;0,(Inc_St!F18+Cash_Flow!F30)/(Inc_St!F24+Inc_St!F46-SUM(Cash_Flow!F15:F18)),"N/A")</f>
        <v>12.11414944512331</v>
      </c>
      <c r="G28" s="284">
        <f>IF(Inc_St!G24+Inc_St!G46-SUM(Cash_Flow!G15:G18)&gt;0,(Inc_St!G18+Cash_Flow!G30)/(Inc_St!G24+Inc_St!G46-SUM(Cash_Flow!G15:G18)),"N/A")</f>
        <v>16.550855160931505</v>
      </c>
      <c r="H28" s="284">
        <f>IF(Inc_St!H24+Inc_St!H46-SUM(Cash_Flow!H15:H18)&gt;0,(Inc_St!H18+Cash_Flow!H30)/(Inc_St!H24+Inc_St!H46-SUM(Cash_Flow!H15:H18)),"N/A")</f>
        <v>20.73897722769419</v>
      </c>
      <c r="I28" s="284">
        <f>IF(Inc_St!I24+Inc_St!I46-SUM(Cash_Flow!I15:I18)&gt;0,(Inc_St!I18+Cash_Flow!I30)/(Inc_St!I24+Inc_St!I46-SUM(Cash_Flow!I15:I18)),"N/A")</f>
        <v>14.52025727008654</v>
      </c>
      <c r="J28" s="284">
        <f>IF(Inc_St!J24+Inc_St!J46-SUM(Cash_Flow!J15:J18)&gt;0,(Inc_St!J18+Cash_Flow!J30)/(Inc_St!J24+Inc_St!J46-SUM(Cash_Flow!J15:J18)),"N/A")</f>
        <v>19.320928302196116</v>
      </c>
      <c r="K28" s="284">
        <f>IF(Inc_St!K24+Inc_St!K46-SUM(Cash_Flow!K15:K18)&gt;0,(Inc_St!K18+Cash_Flow!K30)/(Inc_St!K24+Inc_St!K46-SUM(Cash_Flow!K15:K18)),"N/A")</f>
        <v>26.822757942354855</v>
      </c>
      <c r="L28" s="284">
        <f>IF(Inc_St!L24+Inc_St!L46-SUM(Cash_Flow!L15:L18)&gt;0,(Inc_St!L18+Cash_Flow!L30)/(Inc_St!L24+Inc_St!L46-SUM(Cash_Flow!L15:L18)),"N/A")</f>
        <v>34.45971067203242</v>
      </c>
      <c r="M28" s="284">
        <f>IF(Inc_St!M24+Inc_St!M46-SUM(Cash_Flow!M15:M18)&gt;0,(Inc_St!M18+Cash_Flow!M30)/(Inc_St!M24+Inc_St!M46-SUM(Cash_Flow!M15:M18)),"N/A")</f>
        <v>37.4566872489712</v>
      </c>
      <c r="N28" s="284"/>
    </row>
    <row r="29" spans="1:14" ht="12">
      <c r="A29" s="67"/>
      <c r="C29" s="4"/>
      <c r="D29" s="284"/>
      <c r="E29" s="284"/>
      <c r="F29" s="284"/>
      <c r="G29" s="284"/>
      <c r="H29" s="284"/>
      <c r="I29" s="284"/>
      <c r="J29" s="284"/>
      <c r="K29" s="284"/>
      <c r="L29" s="284"/>
      <c r="M29" s="284"/>
      <c r="N29" s="284"/>
    </row>
    <row r="30" spans="1:14" ht="12">
      <c r="A30" s="67" t="s">
        <v>372</v>
      </c>
      <c r="C30" s="4"/>
      <c r="D30" s="284">
        <f>IF(Inc_St!D24+Inc_St!D46&gt;0,Inc_St!D22/(Inc_St!D24+Inc_St!D46),"N/A")</f>
        <v>6.786208951116441</v>
      </c>
      <c r="E30" s="284">
        <f>IF(Inc_St!E24+Inc_St!E46&gt;0,Inc_St!E22/(Inc_St!E24+Inc_St!E46),"N/A")</f>
        <v>7.526556505030482</v>
      </c>
      <c r="F30" s="284">
        <f>IF(Inc_St!F24+Inc_St!F46&gt;0,Inc_St!F22/(Inc_St!F24+Inc_St!F46),"N/A")</f>
        <v>9.061895009026024</v>
      </c>
      <c r="G30" s="284">
        <f>IF(Inc_St!G24+Inc_St!G46&gt;0,Inc_St!G22/(Inc_St!G24+Inc_St!G46),"N/A")</f>
        <v>11.151857367915992</v>
      </c>
      <c r="H30" s="284">
        <f>IF(Inc_St!H24+Inc_St!H46&gt;0,Inc_St!H22/(Inc_St!H24+Inc_St!H46),"N/A")</f>
        <v>12.812823576029002</v>
      </c>
      <c r="I30" s="284">
        <f>IF(Inc_St!I24+Inc_St!I46&gt;0,Inc_St!I22/(Inc_St!I24+Inc_St!I46),"N/A")</f>
        <v>16.72105780446447</v>
      </c>
      <c r="J30" s="284">
        <f>IF(Inc_St!J24+Inc_St!J46&gt;0,Inc_St!J22/(Inc_St!J24+Inc_St!J46),"N/A")</f>
        <v>24.523795372340167</v>
      </c>
      <c r="K30" s="284">
        <f>IF(Inc_St!K24+Inc_St!K46&gt;0,Inc_St!K22/(Inc_St!K24+Inc_St!K46),"N/A")</f>
        <v>33.83532283045728</v>
      </c>
      <c r="L30" s="284">
        <f>IF(Inc_St!L24+Inc_St!L46&gt;0,Inc_St!L22/(Inc_St!L24+Inc_St!L46),"N/A")</f>
        <v>43.52123038065369</v>
      </c>
      <c r="M30" s="284">
        <f>IF(Inc_St!M24+Inc_St!M46&gt;0,Inc_St!M22/(Inc_St!M24+Inc_St!M46),"N/A")</f>
        <v>46.68345825107829</v>
      </c>
      <c r="N30" s="284"/>
    </row>
    <row r="31" spans="1:14" ht="12">
      <c r="A31" s="67"/>
      <c r="C31" s="4"/>
      <c r="D31" s="284"/>
      <c r="E31" s="284"/>
      <c r="F31" s="284"/>
      <c r="G31" s="284"/>
      <c r="H31" s="284"/>
      <c r="I31" s="284"/>
      <c r="J31" s="284"/>
      <c r="K31" s="284"/>
      <c r="L31" s="284"/>
      <c r="M31" s="284"/>
      <c r="N31" s="284"/>
    </row>
    <row r="32" spans="1:14" ht="12">
      <c r="A32" s="67"/>
      <c r="C32" s="4"/>
      <c r="D32" s="284"/>
      <c r="E32" s="284"/>
      <c r="F32" s="284"/>
      <c r="G32" s="284"/>
      <c r="H32" s="284"/>
      <c r="I32" s="284"/>
      <c r="J32" s="284"/>
      <c r="K32" s="284"/>
      <c r="L32" s="284"/>
      <c r="M32" s="284"/>
      <c r="N32" s="284"/>
    </row>
    <row r="33" spans="1:14" ht="12">
      <c r="A33" s="153" t="s">
        <v>354</v>
      </c>
      <c r="C33" s="4"/>
      <c r="D33" s="284"/>
      <c r="E33" s="284"/>
      <c r="F33" s="284"/>
      <c r="G33" s="284"/>
      <c r="H33" s="284"/>
      <c r="I33" s="284"/>
      <c r="J33" s="284"/>
      <c r="K33" s="284"/>
      <c r="L33" s="284"/>
      <c r="M33" s="284"/>
      <c r="N33" s="284"/>
    </row>
    <row r="34" spans="1:14" ht="12">
      <c r="A34" s="67" t="s">
        <v>352</v>
      </c>
      <c r="C34" s="4"/>
      <c r="D34" s="284">
        <f>IF(OR(Bal_Sheet!F32&gt;0,Bal_Sheet!E32&gt;0),Inc_St!D8/AVERAGE(Bal_Sheet!F32,Bal_Sheet!E32),0)</f>
        <v>0.934994882201624</v>
      </c>
      <c r="E34" s="284">
        <f>IF(OR(Bal_Sheet!G32&gt;0,Bal_Sheet!F32&gt;0),Inc_St!E8/AVERAGE(Bal_Sheet!G32,Bal_Sheet!F32),0)</f>
        <v>0.8868882817567159</v>
      </c>
      <c r="F34" s="284">
        <f>IF(OR(Bal_Sheet!H32&gt;0,Bal_Sheet!G32&gt;0),Inc_St!F8/AVERAGE(Bal_Sheet!H32,Bal_Sheet!G32),0)</f>
        <v>0.9003253746511984</v>
      </c>
      <c r="G34" s="284">
        <f>IF(OR(Bal_Sheet!I32&gt;0,Bal_Sheet!H32&gt;0),Inc_St!G8/AVERAGE(Bal_Sheet!I32,Bal_Sheet!H32),0)</f>
        <v>0.9115338075512891</v>
      </c>
      <c r="H34" s="284">
        <f>IF(OR(Bal_Sheet!J32&gt;0,Bal_Sheet!I32&gt;0),Inc_St!H8/AVERAGE(Bal_Sheet!J32,Bal_Sheet!I32),0)</f>
        <v>0.9208999408882581</v>
      </c>
      <c r="I34" s="284">
        <f>IF(OR(Bal_Sheet!K32&gt;0,Bal_Sheet!J32&gt;0),Inc_St!I8/AVERAGE(Bal_Sheet!K32,Bal_Sheet!J32),0)</f>
        <v>0.9281941457930517</v>
      </c>
      <c r="J34" s="284">
        <f>IF(OR(Bal_Sheet!L32&gt;0,Bal_Sheet!K32&gt;0),Inc_St!J8/AVERAGE(Bal_Sheet!L32,Bal_Sheet!K32),0)</f>
        <v>0.9234274858379794</v>
      </c>
      <c r="K34" s="284">
        <f>IF(OR(Bal_Sheet!M32&gt;0,Bal_Sheet!L32&gt;0),Inc_St!K8/AVERAGE(Bal_Sheet!M32,Bal_Sheet!L32),0)</f>
        <v>0.8935413591320468</v>
      </c>
      <c r="L34" s="284">
        <f>IF(OR(Bal_Sheet!N32&gt;0,Bal_Sheet!M32&gt;0),Inc_St!L8/AVERAGE(Bal_Sheet!N32,Bal_Sheet!M32),0)</f>
        <v>0.8479022019154128</v>
      </c>
      <c r="M34" s="284">
        <f>IF(OR(Bal_Sheet!O32&gt;0,Bal_Sheet!N32&gt;0),Inc_St!M8/AVERAGE(Bal_Sheet!O32,Bal_Sheet!N32),0)</f>
        <v>0.8116713510743345</v>
      </c>
      <c r="N34" s="284"/>
    </row>
    <row r="35" spans="1:14" ht="12">
      <c r="A35" s="67" t="s">
        <v>353</v>
      </c>
      <c r="C35" s="4"/>
      <c r="D35" s="284">
        <f>IF(OR(Bal_Sheet!F28&gt;0,Bal_Sheet!E28&gt;0),Inc_St!D8/AVERAGE(Bal_Sheet!F28,Bal_Sheet!E28),0)</f>
        <v>2.217395467442083</v>
      </c>
      <c r="E35" s="284">
        <f>IF(OR(Bal_Sheet!G28&gt;0,Bal_Sheet!F28&gt;0),Inc_St!E8/AVERAGE(Bal_Sheet!G28,Bal_Sheet!F28),0)</f>
        <v>2.271095615940839</v>
      </c>
      <c r="F35" s="284">
        <f>IF(OR(Bal_Sheet!H28&gt;0,Bal_Sheet!G28&gt;0),Inc_St!F8/AVERAGE(Bal_Sheet!H28,Bal_Sheet!G28),0)</f>
        <v>2.3328333291950325</v>
      </c>
      <c r="G35" s="284">
        <f>IF(OR(Bal_Sheet!I28&gt;0,Bal_Sheet!H28&gt;0),Inc_St!G8/AVERAGE(Bal_Sheet!I28,Bal_Sheet!H28),0)</f>
        <v>2.394830249257509</v>
      </c>
      <c r="H35" s="284">
        <f>IF(OR(Bal_Sheet!J28&gt;0,Bal_Sheet!I28&gt;0),Inc_St!H8/AVERAGE(Bal_Sheet!J28,Bal_Sheet!I28),0)</f>
        <v>2.461791556124863</v>
      </c>
      <c r="I35" s="284">
        <f>IF(OR(Bal_Sheet!K28&gt;0,Bal_Sheet!J28&gt;0),Inc_St!I8/AVERAGE(Bal_Sheet!K28,Bal_Sheet!J28),0)</f>
        <v>2.530177062737344</v>
      </c>
      <c r="J35" s="284">
        <f>IF(OR(Bal_Sheet!L28&gt;0,Bal_Sheet!K28&gt;0),Inc_St!J8/AVERAGE(Bal_Sheet!L28,Bal_Sheet!K28),0)</f>
        <v>2.5269430098906693</v>
      </c>
      <c r="K35" s="284">
        <f>IF(OR(Bal_Sheet!M28&gt;0,Bal_Sheet!L28&gt;0),Inc_St!K8/AVERAGE(Bal_Sheet!M28,Bal_Sheet!L28),0)</f>
        <v>2.471584812576445</v>
      </c>
      <c r="L35" s="284">
        <f>IF(OR(Bal_Sheet!N28&gt;0,Bal_Sheet!M28&gt;0),Inc_St!L8/AVERAGE(Bal_Sheet!N28,Bal_Sheet!M28),0)</f>
        <v>2.4293343674890884</v>
      </c>
      <c r="M35" s="284">
        <f>IF(OR(Bal_Sheet!O28&gt;0,Bal_Sheet!N28&gt;0),Inc_St!M8/AVERAGE(Bal_Sheet!O28,Bal_Sheet!N28),0)</f>
        <v>2.402671607136468</v>
      </c>
      <c r="N35" s="284"/>
    </row>
    <row r="36" spans="3:14" ht="12">
      <c r="C36" s="4"/>
      <c r="D36" s="284"/>
      <c r="E36" s="284"/>
      <c r="F36" s="284"/>
      <c r="G36" s="284"/>
      <c r="H36" s="284"/>
      <c r="I36" s="284"/>
      <c r="J36" s="284"/>
      <c r="K36" s="284"/>
      <c r="L36" s="284"/>
      <c r="M36" s="284"/>
      <c r="N36" s="284"/>
    </row>
    <row r="37" spans="3:14" ht="12">
      <c r="C37" s="4"/>
      <c r="D37" s="284"/>
      <c r="E37" s="284"/>
      <c r="F37" s="284"/>
      <c r="G37" s="284"/>
      <c r="H37" s="284"/>
      <c r="I37" s="284"/>
      <c r="J37" s="284"/>
      <c r="K37" s="284"/>
      <c r="L37" s="284"/>
      <c r="M37" s="284"/>
      <c r="N37" s="284"/>
    </row>
    <row r="38" spans="1:14" ht="12">
      <c r="A38" s="50" t="s">
        <v>370</v>
      </c>
      <c r="C38" s="4"/>
      <c r="D38" s="284"/>
      <c r="E38" s="284"/>
      <c r="F38" s="284"/>
      <c r="G38" s="284"/>
      <c r="H38" s="284"/>
      <c r="I38" s="284"/>
      <c r="J38" s="284"/>
      <c r="K38" s="284"/>
      <c r="L38" s="284"/>
      <c r="M38" s="284"/>
      <c r="N38" s="284"/>
    </row>
    <row r="39" spans="1:14" ht="12">
      <c r="A39" s="67" t="s">
        <v>350</v>
      </c>
      <c r="C39" s="4"/>
      <c r="D39" s="284">
        <f>IF(OR(Bal_Sheet!F12&gt;0,Bal_Sheet!E12&gt;0),Inc_St!D10/AVERAGE(Bal_Sheet!F12,Bal_Sheet!E12),"N/A")</f>
        <v>5.076949112559552</v>
      </c>
      <c r="E39" s="284">
        <f>IF(OR(Bal_Sheet!G12&gt;0,Bal_Sheet!F12&gt;0),Inc_St!E10/AVERAGE(Bal_Sheet!G12,Bal_Sheet!F12),"N/A")</f>
        <v>5.136571551009381</v>
      </c>
      <c r="F39" s="284">
        <f>IF(OR(Bal_Sheet!H12&gt;0,Bal_Sheet!G12&gt;0),Inc_St!F10/AVERAGE(Bal_Sheet!H12,Bal_Sheet!G12),"N/A")</f>
        <v>4.939011106739789</v>
      </c>
      <c r="G39" s="284">
        <f>IF(OR(Bal_Sheet!I12&gt;0,Bal_Sheet!H12&gt;0),Inc_St!G10/AVERAGE(Bal_Sheet!I12,Bal_Sheet!H12),"N/A")</f>
        <v>4.749049141095951</v>
      </c>
      <c r="H39" s="284">
        <f>IF(OR(Bal_Sheet!J12&gt;0,Bal_Sheet!I12&gt;0),Inc_St!H10/AVERAGE(Bal_Sheet!J12,Bal_Sheet!I12),"N/A")</f>
        <v>4.566393404899952</v>
      </c>
      <c r="I39" s="284">
        <f>IF(OR(Bal_Sheet!K12&gt;0,Bal_Sheet!J12&gt;0),Inc_St!I10/AVERAGE(Bal_Sheet!K12,Bal_Sheet!J12),"N/A")</f>
        <v>4.390762889326877</v>
      </c>
      <c r="J39" s="284">
        <f>IF(OR(Bal_Sheet!L12&gt;0,Bal_Sheet!K12&gt;0),Inc_St!J10/AVERAGE(Bal_Sheet!L12,Bal_Sheet!K12),"N/A")</f>
        <v>4.221887393583535</v>
      </c>
      <c r="K39" s="284">
        <f>IF(OR(Bal_Sheet!M12&gt;0,Bal_Sheet!L12&gt;0),Inc_St!K10/AVERAGE(Bal_Sheet!M12,Bal_Sheet!L12),"N/A")</f>
        <v>4.0595071092149375</v>
      </c>
      <c r="L39" s="284">
        <f>IF(OR(Bal_Sheet!N12&gt;0,Bal_Sheet!M12&gt;0),Inc_St!L10/AVERAGE(Bal_Sheet!N12,Bal_Sheet!M12),"N/A")</f>
        <v>3.9033722203989787</v>
      </c>
      <c r="M39" s="284">
        <f>IF(OR(Bal_Sheet!O12&gt;0,Bal_Sheet!N12&gt;0),Inc_St!M10/AVERAGE(Bal_Sheet!O12,Bal_Sheet!N12),"N/A")</f>
        <v>3.7532425196144024</v>
      </c>
      <c r="N39" s="284"/>
    </row>
    <row r="40" spans="1:14" ht="12">
      <c r="A40" s="67" t="s">
        <v>355</v>
      </c>
      <c r="C40" s="4"/>
      <c r="D40" s="284">
        <f>IF(OR(Bal_Sheet!F11&gt;0,Bal_Sheet!E11&gt;0),Inc_St!D8/AVERAGE(Bal_Sheet!F11,Bal_Sheet!E11),"N/A")</f>
        <v>7.773851590106007</v>
      </c>
      <c r="E40" s="284">
        <f>IF(OR(Bal_Sheet!G11&gt;0,Bal_Sheet!F11&gt;0),Inc_St!E8/AVERAGE(Bal_Sheet!G11,Bal_Sheet!F11),"N/A")</f>
        <v>5.671564836298015</v>
      </c>
      <c r="F40" s="284">
        <f>IF(OR(Bal_Sheet!H11&gt;0,Bal_Sheet!G11&gt;0),Inc_St!F8/AVERAGE(Bal_Sheet!H11,Bal_Sheet!G11),"N/A")</f>
        <v>5.401490320283823</v>
      </c>
      <c r="G40" s="284">
        <f>IF(OR(Bal_Sheet!I11&gt;0,Bal_Sheet!H11&gt;0),Inc_St!G8/AVERAGE(Bal_Sheet!I11,Bal_Sheet!H11),"N/A")</f>
        <v>5.144276495508403</v>
      </c>
      <c r="H40" s="284">
        <f>IF(OR(Bal_Sheet!J11&gt;0,Bal_Sheet!I11&gt;0),Inc_St!H8/AVERAGE(Bal_Sheet!J11,Bal_Sheet!I11),"N/A")</f>
        <v>4.899310948103242</v>
      </c>
      <c r="I40" s="284">
        <f>IF(OR(Bal_Sheet!K11&gt;0,Bal_Sheet!J11&gt;0),Inc_St!I8/AVERAGE(Bal_Sheet!K11,Bal_Sheet!J11),"N/A")</f>
        <v>4.666010426764992</v>
      </c>
      <c r="J40" s="284">
        <f>IF(OR(Bal_Sheet!L11&gt;0,Bal_Sheet!K11&gt;0),Inc_St!J8/AVERAGE(Bal_Sheet!L11,Bal_Sheet!K11),"N/A")</f>
        <v>4.443819454061897</v>
      </c>
      <c r="K40" s="284">
        <f>IF(OR(Bal_Sheet!M11&gt;0,Bal_Sheet!L11&gt;0),Inc_St!K8/AVERAGE(Bal_Sheet!M11,Bal_Sheet!L11),"N/A")</f>
        <v>4.232209003868474</v>
      </c>
      <c r="L40" s="284">
        <f>IF(OR(Bal_Sheet!N11&gt;0,Bal_Sheet!M11&gt;0),Inc_St!L8/AVERAGE(Bal_Sheet!N11,Bal_Sheet!M11),"N/A")</f>
        <v>4.030675241779498</v>
      </c>
      <c r="M40" s="284">
        <f>IF(OR(Bal_Sheet!O11&gt;0,Bal_Sheet!N11&gt;0),Inc_St!M8/AVERAGE(Bal_Sheet!O11,Bal_Sheet!N11),"N/A")</f>
        <v>3.8387383255042837</v>
      </c>
      <c r="N40" s="284"/>
    </row>
    <row r="41" spans="1:14" ht="12">
      <c r="A41" s="67" t="s">
        <v>356</v>
      </c>
      <c r="C41" s="4"/>
      <c r="D41" s="284">
        <f>IF(OR(Bal_Sheet!F38&gt;0,Bal_Sheet!E38&gt;0),(Inc_St!D10+Bal_Sheet!F12-Bal_Sheet!E12)/AVERAGE(Bal_Sheet!F38,Bal_Sheet!E38),"N/A")</f>
        <v>7.87352426064317</v>
      </c>
      <c r="E41" s="284">
        <f>IF(OR(Bal_Sheet!G38&gt;0,Bal_Sheet!F38&gt;0),(Inc_St!E10+Bal_Sheet!G12-Bal_Sheet!F12)/AVERAGE(Bal_Sheet!G38,Bal_Sheet!F38),"N/A")</f>
        <v>6.985732563091361</v>
      </c>
      <c r="F41" s="284">
        <f>IF(OR(Bal_Sheet!H38&gt;0,Bal_Sheet!G38&gt;0),(Inc_St!F10+Bal_Sheet!H12-Bal_Sheet!G12)/AVERAGE(Bal_Sheet!H38,Bal_Sheet!G38),"N/A")</f>
        <v>6.787478947953943</v>
      </c>
      <c r="G41" s="284">
        <f>IF(OR(Bal_Sheet!I38&gt;0,Bal_Sheet!H38&gt;0),(Inc_St!G10+Bal_Sheet!I12-Bal_Sheet!H12)/AVERAGE(Bal_Sheet!I38,Bal_Sheet!H38),"N/A")</f>
        <v>6.654517419999835</v>
      </c>
      <c r="H41" s="284">
        <f>IF(OR(Bal_Sheet!J38&gt;0,Bal_Sheet!I38&gt;0),(Inc_St!H10+Bal_Sheet!J12-Bal_Sheet!I12)/AVERAGE(Bal_Sheet!J38,Bal_Sheet!I38),"N/A")</f>
        <v>6.524165179559105</v>
      </c>
      <c r="I41" s="284">
        <f>IF(OR(Bal_Sheet!K38&gt;0,Bal_Sheet!J38&gt;0),(Inc_St!I10+Bal_Sheet!K12-Bal_Sheet!J12)/AVERAGE(Bal_Sheet!K38,Bal_Sheet!J38),"N/A")</f>
        <v>6.396371091447095</v>
      </c>
      <c r="J41" s="284">
        <f>IF(OR(Bal_Sheet!L38&gt;0,Bal_Sheet!K38&gt;0),(Inc_St!J10+Bal_Sheet!L12-Bal_Sheet!K12)/AVERAGE(Bal_Sheet!L38,Bal_Sheet!K38),"N/A")</f>
        <v>6.271085022806384</v>
      </c>
      <c r="K41" s="284">
        <f>IF(OR(Bal_Sheet!M38&gt;0,Bal_Sheet!L38&gt;0),(Inc_St!K10+Bal_Sheet!M12-Bal_Sheet!L12)/AVERAGE(Bal_Sheet!M38,Bal_Sheet!L38),"N/A")</f>
        <v>6.148257823404166</v>
      </c>
      <c r="L41" s="284">
        <f>IF(OR(Bal_Sheet!N38&gt;0,Bal_Sheet!M38&gt;0),(Inc_St!L10+Bal_Sheet!N12-Bal_Sheet!M12)/AVERAGE(Bal_Sheet!N38,Bal_Sheet!M38),"N/A")</f>
        <v>6.027841306313274</v>
      </c>
      <c r="M41" s="284">
        <f>IF(OR(Bal_Sheet!O38&gt;0,Bal_Sheet!N38&gt;0),(Inc_St!M10+Bal_Sheet!O12-Bal_Sheet!N12)/AVERAGE(Bal_Sheet!O38,Bal_Sheet!N38),"N/A")</f>
        <v>5.909788228969194</v>
      </c>
      <c r="N41" s="284"/>
    </row>
    <row r="42" spans="1:14" ht="12">
      <c r="A42" s="67" t="s">
        <v>351</v>
      </c>
      <c r="C42" s="4"/>
      <c r="D42" s="285">
        <f>IF(OR(D39="N/A",D39=0),"N/A",365/D39)</f>
        <v>71.89357070707071</v>
      </c>
      <c r="E42" s="285">
        <f aca="true" t="shared" si="1" ref="E42:M42">IF(OR(E39="N/A",E39=0),"N/A",365/E39)</f>
        <v>71.05907050555429</v>
      </c>
      <c r="F42" s="285">
        <f t="shared" si="1"/>
        <v>73.90143332577647</v>
      </c>
      <c r="G42" s="285">
        <f t="shared" si="1"/>
        <v>76.85749065880754</v>
      </c>
      <c r="H42" s="285">
        <f t="shared" si="1"/>
        <v>79.93179028515985</v>
      </c>
      <c r="I42" s="285">
        <f t="shared" si="1"/>
        <v>83.12906189656626</v>
      </c>
      <c r="J42" s="285">
        <f t="shared" si="1"/>
        <v>86.4542243724289</v>
      </c>
      <c r="K42" s="285">
        <f t="shared" si="1"/>
        <v>89.91239334732606</v>
      </c>
      <c r="L42" s="285">
        <f t="shared" si="1"/>
        <v>93.5088890812191</v>
      </c>
      <c r="M42" s="285">
        <f t="shared" si="1"/>
        <v>97.24924464446786</v>
      </c>
      <c r="N42" s="284"/>
    </row>
    <row r="43" spans="1:14" ht="12">
      <c r="A43" s="67" t="s">
        <v>357</v>
      </c>
      <c r="D43" s="285">
        <f>IF(OR(D40="N/A",D40=0),"N/A",365/D40)</f>
        <v>46.95227272727273</v>
      </c>
      <c r="E43" s="285">
        <f aca="true" t="shared" si="2" ref="E43:M43">IF(OR(E40="N/A",E40=0),"N/A",365/E40)</f>
        <v>64.35613636363637</v>
      </c>
      <c r="F43" s="285">
        <f t="shared" si="2"/>
        <v>67.57394318181818</v>
      </c>
      <c r="G43" s="285">
        <f t="shared" si="2"/>
        <v>70.9526403409091</v>
      </c>
      <c r="H43" s="285">
        <f t="shared" si="2"/>
        <v>74.50027235795454</v>
      </c>
      <c r="I43" s="285">
        <f t="shared" si="2"/>
        <v>78.22528597585227</v>
      </c>
      <c r="J43" s="285">
        <f t="shared" si="2"/>
        <v>82.13655027464489</v>
      </c>
      <c r="K43" s="285">
        <f t="shared" si="2"/>
        <v>86.24337778837713</v>
      </c>
      <c r="L43" s="285">
        <f t="shared" si="2"/>
        <v>90.55554667779599</v>
      </c>
      <c r="M43" s="285">
        <f t="shared" si="2"/>
        <v>95.0833240116858</v>
      </c>
      <c r="N43" s="284"/>
    </row>
    <row r="44" spans="1:14" ht="12">
      <c r="A44" s="67" t="s">
        <v>358</v>
      </c>
      <c r="D44" s="285">
        <f>IF(OR(D41="N/A",D41=0),"N/A",365/D41)</f>
        <v>46.357893608647366</v>
      </c>
      <c r="E44" s="285">
        <f aca="true" t="shared" si="3" ref="E44:M44">IF(OR(E41="N/A",E41=0),"N/A",365/E41)</f>
        <v>52.24935204769397</v>
      </c>
      <c r="F44" s="285">
        <f t="shared" si="3"/>
        <v>53.77548907315988</v>
      </c>
      <c r="G44" s="285">
        <f t="shared" si="3"/>
        <v>54.849957850138</v>
      </c>
      <c r="H44" s="285">
        <f t="shared" si="3"/>
        <v>55.94585513309555</v>
      </c>
      <c r="I44" s="285">
        <f t="shared" si="3"/>
        <v>57.06360603249859</v>
      </c>
      <c r="J44" s="285">
        <f t="shared" si="3"/>
        <v>58.203643974301954</v>
      </c>
      <c r="K44" s="285">
        <f t="shared" si="3"/>
        <v>59.36641085716651</v>
      </c>
      <c r="L44" s="285">
        <f t="shared" si="3"/>
        <v>60.55235721247611</v>
      </c>
      <c r="M44" s="285">
        <f t="shared" si="3"/>
        <v>61.76194236720807</v>
      </c>
      <c r="N44" s="284"/>
    </row>
    <row r="45" spans="3:14" ht="12">
      <c r="C45" s="4"/>
      <c r="D45" s="284"/>
      <c r="E45" s="284"/>
      <c r="F45" s="284"/>
      <c r="G45" s="284"/>
      <c r="H45" s="284"/>
      <c r="I45" s="284"/>
      <c r="J45" s="284"/>
      <c r="K45" s="284"/>
      <c r="L45" s="284"/>
      <c r="M45" s="284"/>
      <c r="N45" s="284"/>
    </row>
    <row r="46" spans="3:14" ht="12">
      <c r="C46" s="4"/>
      <c r="D46" s="284"/>
      <c r="E46" s="284"/>
      <c r="F46" s="284"/>
      <c r="G46" s="284"/>
      <c r="H46" s="284"/>
      <c r="I46" s="284"/>
      <c r="J46" s="284"/>
      <c r="K46" s="284"/>
      <c r="L46" s="284"/>
      <c r="M46" s="284"/>
      <c r="N46" s="284"/>
    </row>
    <row r="47" spans="1:14" ht="12">
      <c r="A47" s="50" t="s">
        <v>360</v>
      </c>
      <c r="C47" s="4"/>
      <c r="D47" s="284"/>
      <c r="E47" s="284"/>
      <c r="F47" s="284"/>
      <c r="G47" s="284"/>
      <c r="H47" s="284"/>
      <c r="I47" s="284"/>
      <c r="J47" s="284"/>
      <c r="K47" s="284"/>
      <c r="L47" s="284"/>
      <c r="M47" s="284"/>
      <c r="N47" s="284"/>
    </row>
    <row r="48" spans="1:14" ht="12">
      <c r="A48" s="67" t="s">
        <v>361</v>
      </c>
      <c r="C48" s="4"/>
      <c r="D48" s="284">
        <f>IF(Bal_Sheet!F42&gt;0,Bal_Sheet!F16/Bal_Sheet!F42,"N/A")</f>
        <v>2.3108861100440907</v>
      </c>
      <c r="E48" s="284">
        <f>IF(Bal_Sheet!G42&gt;0,Bal_Sheet!G16/Bal_Sheet!G42,"N/A")</f>
        <v>2.3196041091625945</v>
      </c>
      <c r="F48" s="284">
        <f>IF(Bal_Sheet!H42&gt;0,Bal_Sheet!H16/Bal_Sheet!H42,"N/A")</f>
        <v>2.3465061097886224</v>
      </c>
      <c r="G48" s="284">
        <f>IF(Bal_Sheet!I42&gt;0,Bal_Sheet!I16/Bal_Sheet!I42,"N/A")</f>
        <v>2.376800404748878</v>
      </c>
      <c r="H48" s="284">
        <f>IF(Bal_Sheet!J42&gt;0,Bal_Sheet!J16/Bal_Sheet!J42,"N/A")</f>
        <v>2.4102956827099207</v>
      </c>
      <c r="I48" s="284">
        <f>IF(Bal_Sheet!K42&gt;0,Bal_Sheet!K16/Bal_Sheet!K42,"N/A")</f>
        <v>2.4468247035235526</v>
      </c>
      <c r="J48" s="284">
        <f>IF(Bal_Sheet!L42&gt;0,Bal_Sheet!L16/Bal_Sheet!L42,"N/A")</f>
        <v>2.486241864357585</v>
      </c>
      <c r="K48" s="284">
        <f>IF(Bal_Sheet!M42&gt;0,Bal_Sheet!M16/Bal_Sheet!M42,"N/A")</f>
        <v>2.6965953761805057</v>
      </c>
      <c r="L48" s="284">
        <f>IF(Bal_Sheet!N42&gt;0,Bal_Sheet!N16/Bal_Sheet!N42,"N/A")</f>
        <v>2.9541032356386503</v>
      </c>
      <c r="M48" s="284">
        <f>IF(Bal_Sheet!O42&gt;0,Bal_Sheet!O16/Bal_Sheet!O42,"N/A")</f>
        <v>3.1039805288142857</v>
      </c>
      <c r="N48" s="284"/>
    </row>
    <row r="49" spans="1:14" ht="12">
      <c r="A49" s="67" t="s">
        <v>371</v>
      </c>
      <c r="C49" s="4"/>
      <c r="D49" s="284">
        <f>IF(Bal_Sheet!F42&gt;0,(Bal_Sheet!F10+Bal_Sheet!F11)/Bal_Sheet!F42,"N/A")</f>
        <v>1.0843893193773595</v>
      </c>
      <c r="E49" s="284">
        <f>IF(Bal_Sheet!G42&gt;0,(Bal_Sheet!G10+Bal_Sheet!G11)/Bal_Sheet!G42,"N/A")</f>
        <v>1.083560986600668</v>
      </c>
      <c r="F49" s="284">
        <f>IF(Bal_Sheet!H42&gt;0,(Bal_Sheet!H10+Bal_Sheet!H11)/Bal_Sheet!H42,"N/A")</f>
        <v>1.0928924127145152</v>
      </c>
      <c r="G49" s="284">
        <f>IF(Bal_Sheet!I42&gt;0,(Bal_Sheet!I10+Bal_Sheet!I11)/Bal_Sheet!I42,"N/A")</f>
        <v>1.1053220930577525</v>
      </c>
      <c r="H49" s="284">
        <f>IF(Bal_Sheet!J42&gt;0,(Bal_Sheet!J10+Bal_Sheet!J11)/Bal_Sheet!J42,"N/A")</f>
        <v>1.1206540004973995</v>
      </c>
      <c r="I49" s="284">
        <f>IF(Bal_Sheet!K42&gt;0,(Bal_Sheet!K10+Bal_Sheet!K11)/Bal_Sheet!K42,"N/A")</f>
        <v>1.1387161719588312</v>
      </c>
      <c r="J49" s="284">
        <f>IF(Bal_Sheet!L42&gt;0,(Bal_Sheet!L10+Bal_Sheet!L11)/Bal_Sheet!L42,"N/A")</f>
        <v>1.159358280515188</v>
      </c>
      <c r="K49" s="284">
        <f>IF(Bal_Sheet!M42&gt;0,(Bal_Sheet!M10+Bal_Sheet!M11)/Bal_Sheet!M42,"N/A")</f>
        <v>1.3506238183087946</v>
      </c>
      <c r="L49" s="284">
        <f>IF(Bal_Sheet!N42&gt;0,(Bal_Sheet!N10+Bal_Sheet!N11)/Bal_Sheet!N42,"N/A")</f>
        <v>1.5887260753701828</v>
      </c>
      <c r="M49" s="284">
        <f>IF(Bal_Sheet!O42&gt;0,(Bal_Sheet!O10+Bal_Sheet!O11)/Bal_Sheet!O42,"N/A")</f>
        <v>1.718875450851182</v>
      </c>
      <c r="N49" s="284"/>
    </row>
    <row r="50" spans="3:14" ht="12">
      <c r="C50" s="4"/>
      <c r="D50" s="284"/>
      <c r="E50" s="284"/>
      <c r="F50" s="284"/>
      <c r="G50" s="284"/>
      <c r="H50" s="284"/>
      <c r="I50" s="284"/>
      <c r="J50" s="284"/>
      <c r="K50" s="284"/>
      <c r="L50" s="284"/>
      <c r="M50" s="284"/>
      <c r="N50" s="284"/>
    </row>
    <row r="51" spans="3:14" ht="12">
      <c r="C51" s="4"/>
      <c r="D51" s="94"/>
      <c r="E51" s="94"/>
      <c r="F51" s="94"/>
      <c r="G51" s="94"/>
      <c r="H51" s="94"/>
      <c r="I51" s="94"/>
      <c r="J51" s="94"/>
      <c r="K51" s="94"/>
      <c r="L51" s="94"/>
      <c r="M51" s="94"/>
      <c r="N51" s="94"/>
    </row>
    <row r="52" spans="1:14" ht="12">
      <c r="A52" s="50" t="s">
        <v>362</v>
      </c>
      <c r="C52" s="4"/>
      <c r="D52" s="94"/>
      <c r="E52" s="94"/>
      <c r="F52" s="94"/>
      <c r="G52" s="94"/>
      <c r="H52" s="94"/>
      <c r="I52" s="94"/>
      <c r="J52" s="94"/>
      <c r="K52" s="94"/>
      <c r="L52" s="94"/>
      <c r="M52" s="94"/>
      <c r="N52" s="94"/>
    </row>
    <row r="53" spans="1:14" ht="12">
      <c r="A53" s="67" t="s">
        <v>363</v>
      </c>
      <c r="C53" s="4"/>
      <c r="D53" s="286">
        <f>IF(AND(Bal_Sheet!F62+Bal_Sheet!F63&gt;0,Bal_Sheet!E62+Bal_Sheet!E63&gt;0),(Inc_St!D43-Inc_St!D46)/AVERAGE((Bal_Sheet!F62+Bal_Sheet!F63),(Bal_Sheet!E62+Bal_Sheet!E63)),"N/A")</f>
        <v>0.38718401595191815</v>
      </c>
      <c r="E53" s="286">
        <f>IF(AND(Bal_Sheet!G62+Bal_Sheet!G63&gt;0,Bal_Sheet!F62+Bal_Sheet!F63&gt;0),(Inc_St!E43-Inc_St!E46)/AVERAGE((Bal_Sheet!G62+Bal_Sheet!G63),(Bal_Sheet!F62+Bal_Sheet!F63)),"N/A")</f>
        <v>0.3019250060637508</v>
      </c>
      <c r="F53" s="286">
        <f>IF(AND(Bal_Sheet!H62+Bal_Sheet!H63&gt;0,Bal_Sheet!G62+Bal_Sheet!G63&gt;0),(Inc_St!F43-Inc_St!F46)/AVERAGE((Bal_Sheet!H62+Bal_Sheet!H63),(Bal_Sheet!G62+Bal_Sheet!G63)),"N/A")</f>
        <v>0.25611091939986547</v>
      </c>
      <c r="G53" s="286">
        <f>IF(AND(Bal_Sheet!I62+Bal_Sheet!I63&gt;0,Bal_Sheet!H62+Bal_Sheet!H63&gt;0),(Inc_St!G43-Inc_St!G46)/AVERAGE((Bal_Sheet!I62+Bal_Sheet!I63),(Bal_Sheet!H62+Bal_Sheet!H63)),"N/A")</f>
        <v>0.2252304905928446</v>
      </c>
      <c r="H53" s="286">
        <f>IF(AND(Bal_Sheet!J62+Bal_Sheet!J63&gt;0,Bal_Sheet!I62+Bal_Sheet!I63&gt;0),(Inc_St!H43-Inc_St!H46)/AVERAGE((Bal_Sheet!J62+Bal_Sheet!J63),(Bal_Sheet!I62+Bal_Sheet!I63)),"N/A")</f>
        <v>0.20016105915129165</v>
      </c>
      <c r="I53" s="286">
        <f>IF(AND(Bal_Sheet!K62+Bal_Sheet!K63&gt;0,Bal_Sheet!J62+Bal_Sheet!J63&gt;0),(Inc_St!I43-Inc_St!I46)/AVERAGE((Bal_Sheet!K62+Bal_Sheet!K63),(Bal_Sheet!J62+Bal_Sheet!J63)),"N/A")</f>
        <v>0.18408769173509634</v>
      </c>
      <c r="J53" s="286">
        <f>IF(AND(Bal_Sheet!L62+Bal_Sheet!L63&gt;0,Bal_Sheet!K62+Bal_Sheet!K63&gt;0),(Inc_St!J43-Inc_St!J46)/AVERAGE((Bal_Sheet!L62+Bal_Sheet!L63),(Bal_Sheet!K62+Bal_Sheet!K63)),"N/A")</f>
        <v>0.1884735617079642</v>
      </c>
      <c r="K53" s="286">
        <f>IF(AND(Bal_Sheet!M62+Bal_Sheet!M63&gt;0,Bal_Sheet!L62+Bal_Sheet!L63&gt;0),(Inc_St!K43-Inc_St!K46)/AVERAGE((Bal_Sheet!M62+Bal_Sheet!M63),(Bal_Sheet!L62+Bal_Sheet!L63)),"N/A")</f>
        <v>0.17257735335086613</v>
      </c>
      <c r="L53" s="286">
        <f>IF(AND(Bal_Sheet!N62+Bal_Sheet!N63&gt;0,Bal_Sheet!M62+Bal_Sheet!M63&gt;0),(Inc_St!L43-Inc_St!L46)/AVERAGE((Bal_Sheet!N62+Bal_Sheet!N63),(Bal_Sheet!M62+Bal_Sheet!M63)),"N/A")</f>
        <v>0.16054945521133102</v>
      </c>
      <c r="M53" s="286">
        <f>IF(AND(Bal_Sheet!O62+Bal_Sheet!O63&gt;0,Bal_Sheet!N62+Bal_Sheet!N63&gt;0),(Inc_St!M43-Inc_St!M46)/AVERAGE((Bal_Sheet!O62+Bal_Sheet!O63),(Bal_Sheet!N62+Bal_Sheet!N63)),"N/A")</f>
        <v>0.14818599141848593</v>
      </c>
      <c r="N53" s="94"/>
    </row>
    <row r="54" spans="1:14" ht="12">
      <c r="A54" s="67" t="s">
        <v>364</v>
      </c>
      <c r="C54" s="4"/>
      <c r="D54" s="286">
        <f>IF(AND(Bal_Sheet!F32&gt;0,Bal_Sheet!E32&gt;0),(Inc_St!D43-Inc_St!D46+Inc_St!D24*(1-tax_rate))/AVERAGE(Bal_Sheet!F32,Bal_Sheet!E32),"N/A")</f>
        <v>0.13249513796758508</v>
      </c>
      <c r="E54" s="286">
        <f>IF(AND(Bal_Sheet!G32&gt;0,Bal_Sheet!F32&gt;0),(Inc_St!E43-Inc_St!E46+Inc_St!E24*(1-tax_rate))/AVERAGE(Bal_Sheet!G32,Bal_Sheet!F32),"N/A")</f>
        <v>0.12236240300492146</v>
      </c>
      <c r="F54" s="286">
        <f>IF(AND(Bal_Sheet!H32&gt;0,Bal_Sheet!G32&gt;0),(Inc_St!F43-Inc_St!F46+Inc_St!F24*(1-tax_rate))/AVERAGE(Bal_Sheet!H32,Bal_Sheet!G32),"N/A")</f>
        <v>0.12266834680492031</v>
      </c>
      <c r="G54" s="286">
        <f>IF(AND(Bal_Sheet!I32&gt;0,Bal_Sheet!H32&gt;0),(Inc_St!G43-Inc_St!G46+Inc_St!G24*(1-tax_rate))/AVERAGE(Bal_Sheet!I32,Bal_Sheet!H32),"N/A")</f>
        <v>0.12282837119514775</v>
      </c>
      <c r="H54" s="286">
        <f>IF(AND(Bal_Sheet!J32&gt;0,Bal_Sheet!I32&gt;0),(Inc_St!H43-Inc_St!H46+Inc_St!H24*(1-tax_rate))/AVERAGE(Bal_Sheet!J32,Bal_Sheet!I32),"N/A")</f>
        <v>0.12193839726342963</v>
      </c>
      <c r="I54" s="286">
        <f>IF(AND(Bal_Sheet!K32&gt;0,Bal_Sheet!J32&gt;0),(Inc_St!I43-Inc_St!I46+Inc_St!I24*(1-tax_rate))/AVERAGE(Bal_Sheet!K32,Bal_Sheet!J32),"N/A")</f>
        <v>0.12173171876157862</v>
      </c>
      <c r="J54" s="286">
        <f>IF(AND(Bal_Sheet!L32&gt;0,Bal_Sheet!K32&gt;0),(Inc_St!J43-Inc_St!J46+Inc_St!J24*(1-tax_rate))/AVERAGE(Bal_Sheet!L32,Bal_Sheet!K32),"N/A")</f>
        <v>0.13315264573836397</v>
      </c>
      <c r="K54" s="286">
        <f>IF(AND(Bal_Sheet!M32&gt;0,Bal_Sheet!L32&gt;0),(Inc_St!K43-Inc_St!K46+Inc_St!K24*(1-tax_rate))/AVERAGE(Bal_Sheet!M32,Bal_Sheet!L32),"N/A")</f>
        <v>0.12676926601722288</v>
      </c>
      <c r="L54" s="286">
        <f>IF(AND(Bal_Sheet!N32&gt;0,Bal_Sheet!M32&gt;0),(Inc_St!L43-Inc_St!L46+Inc_St!L24*(1-tax_rate))/AVERAGE(Bal_Sheet!N32,Bal_Sheet!M32),"N/A")</f>
        <v>0.11921359577182654</v>
      </c>
      <c r="M54" s="286">
        <f>IF(AND(Bal_Sheet!O32&gt;0,Bal_Sheet!N32&gt;0),(Inc_St!M43-Inc_St!M46+Inc_St!M24*(1-tax_rate))/AVERAGE(Bal_Sheet!O32,Bal_Sheet!N32),"N/A")</f>
        <v>0.1114137851204284</v>
      </c>
      <c r="N54" s="94"/>
    </row>
    <row r="55" spans="3:14" ht="12">
      <c r="C55" s="4"/>
      <c r="D55" s="94"/>
      <c r="E55" s="94"/>
      <c r="F55" s="94"/>
      <c r="G55" s="94"/>
      <c r="H55" s="94"/>
      <c r="I55" s="94"/>
      <c r="J55" s="94"/>
      <c r="K55" s="94"/>
      <c r="L55" s="94"/>
      <c r="M55" s="94"/>
      <c r="N55" s="94"/>
    </row>
    <row r="56" spans="3:14" ht="12">
      <c r="C56" s="4"/>
      <c r="D56" s="94"/>
      <c r="E56" s="94"/>
      <c r="F56" s="94"/>
      <c r="G56" s="94"/>
      <c r="H56" s="94"/>
      <c r="I56" s="94"/>
      <c r="J56" s="94"/>
      <c r="K56" s="94"/>
      <c r="L56" s="94"/>
      <c r="M56" s="94"/>
      <c r="N56" s="94"/>
    </row>
    <row r="57" spans="1:14" ht="12">
      <c r="A57" s="50" t="s">
        <v>365</v>
      </c>
      <c r="C57" s="4"/>
      <c r="D57" s="94"/>
      <c r="E57" s="94"/>
      <c r="F57" s="94"/>
      <c r="G57" s="94"/>
      <c r="H57" s="94"/>
      <c r="I57" s="94"/>
      <c r="J57" s="94"/>
      <c r="K57" s="94"/>
      <c r="L57" s="94"/>
      <c r="M57" s="94"/>
      <c r="N57" s="94"/>
    </row>
    <row r="58" spans="1:14" ht="12">
      <c r="A58" s="67" t="s">
        <v>366</v>
      </c>
      <c r="C58" s="4"/>
      <c r="D58" s="286" t="s">
        <v>314</v>
      </c>
      <c r="E58" s="286">
        <f>IF(Inc_St!D8&gt;0,(Inc_St!E8-Inc_St!D8)/Inc_St!D8,"N/A")</f>
        <v>0.1</v>
      </c>
      <c r="F58" s="286">
        <f>IF(Inc_St!E8&gt;0,(Inc_St!F8-Inc_St!E8)/Inc_St!E8,"N/A")</f>
        <v>0.1</v>
      </c>
      <c r="G58" s="286">
        <f>IF(Inc_St!F8&gt;0,(Inc_St!G8-Inc_St!F8)/Inc_St!F8,"N/A")</f>
        <v>0.10000000000000017</v>
      </c>
      <c r="H58" s="286">
        <f>IF(Inc_St!G8&gt;0,(Inc_St!H8-Inc_St!G8)/Inc_St!G8,"N/A")</f>
        <v>0.10000000000000014</v>
      </c>
      <c r="I58" s="286">
        <f>IF(Inc_St!H8&gt;0,(Inc_St!I8-Inc_St!H8)/Inc_St!H8,"N/A")</f>
        <v>0.10000000000000012</v>
      </c>
      <c r="J58" s="286">
        <f>IF(Inc_St!I8&gt;0,(Inc_St!J8-Inc_St!I8)/Inc_St!I8,"N/A")</f>
        <v>0.10000000000000014</v>
      </c>
      <c r="K58" s="286">
        <f>IF(Inc_St!J8&gt;0,(Inc_St!K8-Inc_St!J8)/Inc_St!J8,"N/A")</f>
        <v>0.10000000000000017</v>
      </c>
      <c r="L58" s="286">
        <f>IF(Inc_St!K8&gt;0,(Inc_St!L8-Inc_St!K8)/Inc_St!K8,"N/A")</f>
        <v>0.10000000000000017</v>
      </c>
      <c r="M58" s="286">
        <f>IF(Inc_St!L8&gt;0,(Inc_St!M8-Inc_St!L8)/Inc_St!L8,"N/A")</f>
        <v>0.10000000000000017</v>
      </c>
      <c r="N58" s="94"/>
    </row>
    <row r="59" spans="1:14" ht="12">
      <c r="A59" s="67" t="s">
        <v>1</v>
      </c>
      <c r="C59" s="4"/>
      <c r="D59" s="286">
        <f>IF(Inc_St!D8&gt;0,Inc_St!D12/Inc_St!D8,"N/A")</f>
        <v>0.55</v>
      </c>
      <c r="E59" s="286">
        <f>IF(Inc_St!E8&gt;0,Inc_St!E12/Inc_St!E8,"N/A")</f>
        <v>0.548875</v>
      </c>
      <c r="F59" s="286">
        <f>IF(Inc_St!F8&gt;0,Inc_St!F12/Inc_St!F8,"N/A")</f>
        <v>0.5477471875000001</v>
      </c>
      <c r="G59" s="286">
        <f>IF(Inc_St!G8&gt;0,Inc_St!G12/Inc_St!G8,"N/A")</f>
        <v>0.5466165554687501</v>
      </c>
      <c r="H59" s="286">
        <f>IF(Inc_St!H8&gt;0,Inc_St!H12/Inc_St!H8,"N/A")</f>
        <v>0.5454830968574219</v>
      </c>
      <c r="I59" s="286">
        <f>IF(Inc_St!I8&gt;0,Inc_St!I12/Inc_St!I8,"N/A")</f>
        <v>0.5443468045995655</v>
      </c>
      <c r="J59" s="286">
        <f>IF(Inc_St!J8&gt;0,Inc_St!J12/Inc_St!J8,"N/A")</f>
        <v>0.5432076716110645</v>
      </c>
      <c r="K59" s="286">
        <f>IF(Inc_St!K8&gt;0,Inc_St!K12/Inc_St!K8,"N/A")</f>
        <v>0.5420656907900923</v>
      </c>
      <c r="L59" s="286">
        <f>IF(Inc_St!L8&gt;0,Inc_St!L12/Inc_St!L8,"N/A")</f>
        <v>0.5409208550170673</v>
      </c>
      <c r="M59" s="286">
        <f>IF(Inc_St!M8&gt;0,Inc_St!M12/Inc_St!M8,"N/A")</f>
        <v>0.53977315715461</v>
      </c>
      <c r="N59" s="94"/>
    </row>
    <row r="60" spans="1:14" ht="12">
      <c r="A60" s="67" t="s">
        <v>367</v>
      </c>
      <c r="C60" s="4"/>
      <c r="D60" s="286">
        <f>IF(Inc_St!D8&gt;0,Inc_St!D18/Inc_St!D8,"N/A")</f>
        <v>0.29</v>
      </c>
      <c r="E60" s="286">
        <f>IF(Inc_St!E8&gt;0,Inc_St!E18/Inc_St!E8,"N/A")</f>
        <v>0.28799499999999995</v>
      </c>
      <c r="F60" s="286">
        <f>IF(Inc_St!F8&gt;0,Inc_St!F18/Inc_St!F8,"N/A")</f>
        <v>0.2859834175</v>
      </c>
      <c r="G60" s="286">
        <f>IF(Inc_St!G8&gt;0,Inc_St!G18/Inc_St!G8,"N/A")</f>
        <v>0.28396522756375014</v>
      </c>
      <c r="H60" s="286">
        <f>IF(Inc_St!H8&gt;0,Inc_St!H18/Inc_St!H8,"N/A")</f>
        <v>0.28194040514931445</v>
      </c>
      <c r="I60" s="286">
        <f>IF(Inc_St!I8&gt;0,Inc_St!I18/Inc_St!I8,"N/A")</f>
        <v>0.27990892510858967</v>
      </c>
      <c r="J60" s="286">
        <f>IF(Inc_St!J8&gt;0,Inc_St!J18/Inc_St!J8,"N/A")</f>
        <v>0.27787076218681944</v>
      </c>
      <c r="K60" s="286">
        <f>IF(Inc_St!K8&gt;0,Inc_St!K18/Inc_St!K8,"N/A")</f>
        <v>0.27582589102210786</v>
      </c>
      <c r="L60" s="286">
        <f>IF(Inc_St!L8&gt;0,Inc_St!L18/Inc_St!L8,"N/A")</f>
        <v>0.27377428614493005</v>
      </c>
      <c r="M60" s="286">
        <f>IF(Inc_St!M8&gt;0,Inc_St!M18/Inc_St!M8,"N/A")</f>
        <v>0.27171592197764105</v>
      </c>
      <c r="N60" s="94"/>
    </row>
    <row r="61" spans="1:14" ht="12">
      <c r="A61" s="67" t="s">
        <v>368</v>
      </c>
      <c r="C61" s="4"/>
      <c r="D61" s="286">
        <f>IF(Inc_St!D8&gt;0,Inc_St!D22/Inc_St!D8,"N/A")</f>
        <v>0.223705303030303</v>
      </c>
      <c r="E61" s="286">
        <f>IF(Inc_St!E8&gt;0,Inc_St!E22/Inc_St!E8,"N/A")</f>
        <v>0.2177270936639118</v>
      </c>
      <c r="F61" s="286">
        <f>IF(Inc_St!F8&gt;0,Inc_St!F22/Inc_St!F8,"N/A")</f>
        <v>0.2154368359823441</v>
      </c>
      <c r="G61" s="286">
        <f>IF(Inc_St!G8&gt;0,Inc_St!G22/Inc_St!G8,"N/A")</f>
        <v>0.21268911449575126</v>
      </c>
      <c r="H61" s="286">
        <f>IF(Inc_St!H8&gt;0,Inc_St!H22/Inc_St!H8,"N/A")</f>
        <v>0.20881060539052762</v>
      </c>
      <c r="I61" s="286">
        <f>IF(Inc_St!I8&gt;0,Inc_St!I22/Inc_St!I8,"N/A")</f>
        <v>0.207177288964238</v>
      </c>
      <c r="J61" s="286">
        <f>IF(Inc_St!J8&gt;0,Inc_St!J22/Inc_St!J8,"N/A")</f>
        <v>0.22576897478036434</v>
      </c>
      <c r="K61" s="286">
        <f>IF(Inc_St!K8&gt;0,Inc_St!K22/Inc_St!K8,"N/A")</f>
        <v>0.2217939630768456</v>
      </c>
      <c r="L61" s="286">
        <f>IF(Inc_St!L8&gt;0,Inc_St!L22/Inc_St!L8,"N/A")</f>
        <v>0.21946994313231943</v>
      </c>
      <c r="M61" s="286">
        <f>IF(Inc_St!M8&gt;0,Inc_St!M22/Inc_St!M8,"N/A")</f>
        <v>0.21401500408738902</v>
      </c>
      <c r="N61" s="94"/>
    </row>
    <row r="62" spans="1:14" ht="12">
      <c r="A62" s="67" t="s">
        <v>369</v>
      </c>
      <c r="C62" s="4"/>
      <c r="D62" s="286">
        <f>IF(Inc_St!D8&gt;0,Inc_St!D39/Inc_St!D8,"N/A")</f>
        <v>0.19473808355133487</v>
      </c>
      <c r="E62" s="286">
        <f>IF(Inc_St!E8&gt;0,Inc_St!E39/Inc_St!E8,"N/A")</f>
        <v>0.19275893197304128</v>
      </c>
      <c r="F62" s="286">
        <f>IF(Inc_St!F8&gt;0,Inc_St!F39/Inc_St!F8,"N/A")</f>
        <v>0.1950106185286625</v>
      </c>
      <c r="G62" s="286">
        <f>IF(Inc_St!G8&gt;0,Inc_St!G39/Inc_St!G8,"N/A")</f>
        <v>0.1971549779439967</v>
      </c>
      <c r="H62" s="286">
        <f>IF(Inc_St!H8&gt;0,Inc_St!H39/Inc_St!H8,"N/A")</f>
        <v>0.19609153115711134</v>
      </c>
      <c r="I62" s="286">
        <f>IF(Inc_St!I8&gt;0,Inc_St!I39/Inc_St!I8,"N/A")</f>
        <v>0.1978182461475057</v>
      </c>
      <c r="J62" s="286">
        <f>IF(Inc_St!J8&gt;0,Inc_St!J39/Inc_St!J8,"N/A")</f>
        <v>0.22030414668751963</v>
      </c>
      <c r="K62" s="286">
        <f>IF(Inc_St!K8&gt;0,Inc_St!K39/Inc_St!K8,"N/A")</f>
        <v>0.21868668609320951</v>
      </c>
      <c r="L62" s="286">
        <f>IF(Inc_St!L8&gt;0,Inc_St!L39/Inc_St!L8,"N/A")</f>
        <v>0.21760391361148052</v>
      </c>
      <c r="M62" s="286">
        <f>IF(Inc_St!M8&gt;0,Inc_St!M39/Inc_St!M8,"N/A")</f>
        <v>0.21235716794284204</v>
      </c>
      <c r="N62" s="94"/>
    </row>
    <row r="63" spans="3:14" ht="12">
      <c r="C63" s="4"/>
      <c r="D63" s="94"/>
      <c r="E63" s="94"/>
      <c r="F63" s="94"/>
      <c r="G63" s="94"/>
      <c r="H63" s="94"/>
      <c r="I63" s="94"/>
      <c r="J63" s="94"/>
      <c r="K63" s="94"/>
      <c r="L63" s="94"/>
      <c r="M63" s="94"/>
      <c r="N63" s="94"/>
    </row>
    <row r="64" spans="3:14" ht="12">
      <c r="C64" s="4"/>
      <c r="D64" s="94"/>
      <c r="E64" s="94"/>
      <c r="F64" s="94"/>
      <c r="G64" s="94"/>
      <c r="H64" s="94"/>
      <c r="I64" s="94"/>
      <c r="J64" s="94"/>
      <c r="K64" s="94"/>
      <c r="L64" s="94"/>
      <c r="M64" s="94"/>
      <c r="N64" s="94"/>
    </row>
    <row r="65" spans="3:14" ht="12">
      <c r="C65" s="4"/>
      <c r="D65" s="94"/>
      <c r="E65" s="94"/>
      <c r="F65" s="94"/>
      <c r="G65" s="94"/>
      <c r="H65" s="94"/>
      <c r="I65" s="94"/>
      <c r="J65" s="94"/>
      <c r="K65" s="94"/>
      <c r="L65" s="94"/>
      <c r="M65" s="94"/>
      <c r="N65" s="94"/>
    </row>
    <row r="66" spans="3:14" ht="12">
      <c r="C66" s="4"/>
      <c r="D66" s="94"/>
      <c r="E66" s="94"/>
      <c r="F66" s="94"/>
      <c r="G66" s="94"/>
      <c r="H66" s="94"/>
      <c r="I66" s="94"/>
      <c r="J66" s="94"/>
      <c r="K66" s="94"/>
      <c r="L66" s="94"/>
      <c r="M66" s="94"/>
      <c r="N66" s="94"/>
    </row>
    <row r="67" spans="3:14" ht="12">
      <c r="C67" s="4"/>
      <c r="D67" s="94"/>
      <c r="E67" s="94"/>
      <c r="F67" s="94"/>
      <c r="G67" s="94"/>
      <c r="H67" s="94"/>
      <c r="I67" s="94"/>
      <c r="J67" s="94"/>
      <c r="K67" s="94"/>
      <c r="L67" s="94"/>
      <c r="M67" s="94"/>
      <c r="N67" s="94"/>
    </row>
    <row r="68" spans="3:14" ht="12">
      <c r="C68" s="4"/>
      <c r="D68" s="94"/>
      <c r="E68" s="94"/>
      <c r="F68" s="94"/>
      <c r="G68" s="94"/>
      <c r="H68" s="94"/>
      <c r="I68" s="94"/>
      <c r="J68" s="94"/>
      <c r="K68" s="94"/>
      <c r="L68" s="94"/>
      <c r="M68" s="94"/>
      <c r="N68" s="94"/>
    </row>
    <row r="69" spans="3:13" ht="12">
      <c r="C69" s="4"/>
      <c r="D69" s="4"/>
      <c r="E69" s="4"/>
      <c r="F69" s="4"/>
      <c r="G69" s="4"/>
      <c r="H69" s="4"/>
      <c r="I69" s="4"/>
      <c r="J69" s="4"/>
      <c r="K69" s="4"/>
      <c r="L69" s="4"/>
      <c r="M69" s="4"/>
    </row>
    <row r="70" spans="3:13" ht="12">
      <c r="C70" s="4"/>
      <c r="D70" s="4"/>
      <c r="E70" s="4"/>
      <c r="F70" s="4"/>
      <c r="G70" s="4"/>
      <c r="H70" s="4"/>
      <c r="I70" s="4"/>
      <c r="J70" s="4"/>
      <c r="K70" s="4"/>
      <c r="L70" s="4"/>
      <c r="M70" s="4"/>
    </row>
    <row r="71" spans="3:13" ht="12">
      <c r="C71" s="4"/>
      <c r="D71" s="4"/>
      <c r="E71" s="4"/>
      <c r="F71" s="4"/>
      <c r="G71" s="4"/>
      <c r="H71" s="4"/>
      <c r="I71" s="4"/>
      <c r="J71" s="4"/>
      <c r="K71" s="4"/>
      <c r="L71" s="4"/>
      <c r="M71" s="4"/>
    </row>
    <row r="72" spans="3:13" ht="12">
      <c r="C72" s="4"/>
      <c r="D72" s="4"/>
      <c r="E72" s="4"/>
      <c r="F72" s="4"/>
      <c r="G72" s="4"/>
      <c r="H72" s="4"/>
      <c r="I72" s="4"/>
      <c r="J72" s="4"/>
      <c r="K72" s="4"/>
      <c r="L72" s="4"/>
      <c r="M72" s="4"/>
    </row>
    <row r="73" spans="3:13" ht="12">
      <c r="C73" s="4"/>
      <c r="D73" s="4"/>
      <c r="E73" s="4"/>
      <c r="F73" s="4"/>
      <c r="G73" s="4"/>
      <c r="H73" s="4"/>
      <c r="I73" s="4"/>
      <c r="J73" s="4"/>
      <c r="K73" s="4"/>
      <c r="L73" s="4"/>
      <c r="M73" s="4"/>
    </row>
    <row r="74" spans="3:13" ht="12">
      <c r="C74" s="4"/>
      <c r="D74" s="4"/>
      <c r="E74" s="4"/>
      <c r="F74" s="4"/>
      <c r="G74" s="4"/>
      <c r="H74" s="4"/>
      <c r="I74" s="4"/>
      <c r="J74" s="4"/>
      <c r="K74" s="4"/>
      <c r="L74" s="4"/>
      <c r="M74" s="4"/>
    </row>
    <row r="75" spans="3:13" ht="12">
      <c r="C75" s="4"/>
      <c r="D75" s="4"/>
      <c r="E75" s="4"/>
      <c r="F75" s="4"/>
      <c r="G75" s="4"/>
      <c r="H75" s="4"/>
      <c r="I75" s="4"/>
      <c r="J75" s="4"/>
      <c r="K75" s="4"/>
      <c r="L75" s="4"/>
      <c r="M75" s="4"/>
    </row>
    <row r="76" spans="3:13" ht="12">
      <c r="C76" s="4"/>
      <c r="D76" s="4"/>
      <c r="E76" s="4"/>
      <c r="F76" s="4"/>
      <c r="G76" s="4"/>
      <c r="H76" s="4"/>
      <c r="I76" s="4"/>
      <c r="J76" s="4"/>
      <c r="K76" s="4"/>
      <c r="L76" s="4"/>
      <c r="M76" s="4"/>
    </row>
    <row r="77" spans="3:13" ht="12">
      <c r="C77" s="4"/>
      <c r="D77" s="4"/>
      <c r="E77" s="4"/>
      <c r="F77" s="4"/>
      <c r="G77" s="4"/>
      <c r="H77" s="4"/>
      <c r="I77" s="4"/>
      <c r="J77" s="4"/>
      <c r="K77" s="4"/>
      <c r="L77" s="4"/>
      <c r="M77" s="4"/>
    </row>
    <row r="78" spans="3:13" ht="12">
      <c r="C78" s="4"/>
      <c r="D78" s="4"/>
      <c r="E78" s="4"/>
      <c r="F78" s="4"/>
      <c r="G78" s="4"/>
      <c r="H78" s="4"/>
      <c r="I78" s="4"/>
      <c r="J78" s="4"/>
      <c r="K78" s="4"/>
      <c r="L78" s="4"/>
      <c r="M78" s="4"/>
    </row>
    <row r="79" spans="3:13" ht="12">
      <c r="C79" s="4"/>
      <c r="D79" s="4"/>
      <c r="E79" s="4"/>
      <c r="F79" s="4"/>
      <c r="G79" s="4"/>
      <c r="H79" s="4"/>
      <c r="I79" s="4"/>
      <c r="J79" s="4"/>
      <c r="K79" s="4"/>
      <c r="L79" s="4"/>
      <c r="M79" s="4"/>
    </row>
    <row r="80" spans="3:13" ht="12">
      <c r="C80" s="4"/>
      <c r="D80" s="4"/>
      <c r="E80" s="4"/>
      <c r="F80" s="4"/>
      <c r="G80" s="4"/>
      <c r="H80" s="4"/>
      <c r="I80" s="4"/>
      <c r="J80" s="4"/>
      <c r="K80" s="4"/>
      <c r="L80" s="4"/>
      <c r="M80" s="4"/>
    </row>
    <row r="81" spans="3:13" ht="12">
      <c r="C81" s="4"/>
      <c r="D81" s="4"/>
      <c r="E81" s="4"/>
      <c r="F81" s="4"/>
      <c r="G81" s="4"/>
      <c r="H81" s="4"/>
      <c r="I81" s="4"/>
      <c r="J81" s="4"/>
      <c r="K81" s="4"/>
      <c r="L81" s="4"/>
      <c r="M81" s="4"/>
    </row>
    <row r="82" spans="3:13" ht="12">
      <c r="C82" s="4"/>
      <c r="D82" s="4"/>
      <c r="E82" s="4"/>
      <c r="F82" s="4"/>
      <c r="G82" s="4"/>
      <c r="H82" s="4"/>
      <c r="I82" s="4"/>
      <c r="J82" s="4"/>
      <c r="K82" s="4"/>
      <c r="L82" s="4"/>
      <c r="M82" s="4"/>
    </row>
    <row r="83" spans="3:13" ht="12">
      <c r="C83" s="4"/>
      <c r="D83" s="4"/>
      <c r="E83" s="4"/>
      <c r="F83" s="4"/>
      <c r="G83" s="4"/>
      <c r="H83" s="4"/>
      <c r="I83" s="4"/>
      <c r="J83" s="4"/>
      <c r="K83" s="4"/>
      <c r="L83" s="4"/>
      <c r="M83" s="4"/>
    </row>
    <row r="84" spans="3:13" ht="12">
      <c r="C84" s="4"/>
      <c r="D84" s="4"/>
      <c r="E84" s="4"/>
      <c r="F84" s="4"/>
      <c r="G84" s="4"/>
      <c r="H84" s="4"/>
      <c r="I84" s="4"/>
      <c r="J84" s="4"/>
      <c r="K84" s="4"/>
      <c r="L84" s="4"/>
      <c r="M84" s="4"/>
    </row>
    <row r="85" spans="3:13" ht="12">
      <c r="C85" s="4"/>
      <c r="D85" s="4"/>
      <c r="E85" s="4"/>
      <c r="F85" s="4"/>
      <c r="G85" s="4"/>
      <c r="H85" s="4"/>
      <c r="I85" s="4"/>
      <c r="J85" s="4"/>
      <c r="K85" s="4"/>
      <c r="L85" s="4"/>
      <c r="M85" s="4"/>
    </row>
    <row r="86" spans="3:13" ht="12">
      <c r="C86" s="4"/>
      <c r="D86" s="4"/>
      <c r="E86" s="4"/>
      <c r="F86" s="4"/>
      <c r="G86" s="4"/>
      <c r="H86" s="4"/>
      <c r="I86" s="4"/>
      <c r="J86" s="4"/>
      <c r="K86" s="4"/>
      <c r="L86" s="4"/>
      <c r="M86" s="4"/>
    </row>
    <row r="87" spans="3:13" ht="12">
      <c r="C87" s="4"/>
      <c r="D87" s="4"/>
      <c r="E87" s="4"/>
      <c r="F87" s="4"/>
      <c r="G87" s="4"/>
      <c r="H87" s="4"/>
      <c r="I87" s="4"/>
      <c r="J87" s="4"/>
      <c r="K87" s="4"/>
      <c r="L87" s="4"/>
      <c r="M87" s="4"/>
    </row>
    <row r="88" spans="3:13" ht="12">
      <c r="C88" s="4"/>
      <c r="D88" s="4"/>
      <c r="E88" s="4"/>
      <c r="F88" s="4"/>
      <c r="G88" s="4"/>
      <c r="H88" s="4"/>
      <c r="I88" s="4"/>
      <c r="J88" s="4"/>
      <c r="K88" s="4"/>
      <c r="L88" s="4"/>
      <c r="M88" s="4"/>
    </row>
    <row r="89" spans="3:13" ht="12">
      <c r="C89" s="4"/>
      <c r="D89" s="4"/>
      <c r="E89" s="4"/>
      <c r="F89" s="4"/>
      <c r="G89" s="4"/>
      <c r="H89" s="4"/>
      <c r="I89" s="4"/>
      <c r="J89" s="4"/>
      <c r="K89" s="4"/>
      <c r="L89" s="4"/>
      <c r="M89" s="4"/>
    </row>
    <row r="90" spans="3:13" ht="12">
      <c r="C90" s="4"/>
      <c r="D90" s="4"/>
      <c r="E90" s="4"/>
      <c r="F90" s="4"/>
      <c r="G90" s="4"/>
      <c r="H90" s="4"/>
      <c r="I90" s="4"/>
      <c r="J90" s="4"/>
      <c r="K90" s="4"/>
      <c r="L90" s="4"/>
      <c r="M90" s="4"/>
    </row>
    <row r="91" spans="4:13" ht="12">
      <c r="D91" s="4"/>
      <c r="E91" s="4"/>
      <c r="F91" s="4"/>
      <c r="G91" s="4"/>
      <c r="H91" s="4"/>
      <c r="I91" s="4"/>
      <c r="J91" s="4"/>
      <c r="K91" s="4"/>
      <c r="L91" s="4"/>
      <c r="M91" s="4"/>
    </row>
    <row r="92" spans="4:13" ht="12">
      <c r="D92" s="4"/>
      <c r="E92" s="4"/>
      <c r="F92" s="4"/>
      <c r="G92" s="4"/>
      <c r="H92" s="4"/>
      <c r="I92" s="4"/>
      <c r="J92" s="4"/>
      <c r="K92" s="4"/>
      <c r="L92" s="4"/>
      <c r="M92" s="4"/>
    </row>
  </sheetData>
  <sheetProtection/>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2:AO124"/>
  <sheetViews>
    <sheetView zoomScalePageLayoutView="0" workbookViewId="0" topLeftCell="A1">
      <selection activeCell="H2" sqref="H2"/>
    </sheetView>
  </sheetViews>
  <sheetFormatPr defaultColWidth="9.140625" defaultRowHeight="12.75"/>
  <cols>
    <col min="1" max="1" width="16.00390625" style="0" customWidth="1"/>
    <col min="2" max="2" width="15.7109375" style="0" customWidth="1"/>
    <col min="3" max="3" width="2.8515625" style="0" customWidth="1"/>
    <col min="4" max="13" width="10.7109375" style="0" customWidth="1"/>
  </cols>
  <sheetData>
    <row r="2" spans="1:13" ht="15">
      <c r="A2" s="92" t="s">
        <v>45</v>
      </c>
      <c r="D2" s="169"/>
      <c r="E2" s="169"/>
      <c r="F2" s="169"/>
      <c r="G2" s="169"/>
      <c r="H2" s="169"/>
      <c r="I2" s="169"/>
      <c r="J2" s="169"/>
      <c r="K2" s="169"/>
      <c r="L2" s="169"/>
      <c r="M2" s="169"/>
    </row>
    <row r="3" spans="4:13" ht="12.75">
      <c r="D3" s="19"/>
      <c r="E3" s="19"/>
      <c r="F3" s="19"/>
      <c r="G3" s="19"/>
      <c r="H3" s="19"/>
      <c r="I3" s="19"/>
      <c r="J3" s="19"/>
      <c r="K3" s="19"/>
      <c r="L3" s="19"/>
      <c r="M3" s="19"/>
    </row>
    <row r="4" spans="1:16" ht="12.75">
      <c r="A4" s="2" t="s">
        <v>14</v>
      </c>
      <c r="C4" s="70"/>
      <c r="D4" s="68">
        <f>year1</f>
        <v>2010</v>
      </c>
      <c r="E4" s="14">
        <f>D4+1</f>
        <v>2011</v>
      </c>
      <c r="F4" s="14">
        <f aca="true" t="shared" si="0" ref="F4:M4">E4+1</f>
        <v>2012</v>
      </c>
      <c r="G4" s="14">
        <f t="shared" si="0"/>
        <v>2013</v>
      </c>
      <c r="H4" s="14">
        <f t="shared" si="0"/>
        <v>2014</v>
      </c>
      <c r="I4" s="14">
        <f t="shared" si="0"/>
        <v>2015</v>
      </c>
      <c r="J4" s="14">
        <f t="shared" si="0"/>
        <v>2016</v>
      </c>
      <c r="K4" s="14">
        <f t="shared" si="0"/>
        <v>2017</v>
      </c>
      <c r="L4" s="14">
        <f t="shared" si="0"/>
        <v>2018</v>
      </c>
      <c r="M4" s="14">
        <f t="shared" si="0"/>
        <v>2019</v>
      </c>
      <c r="P4" s="171"/>
    </row>
    <row r="5" spans="1:41" ht="12.75">
      <c r="A5" s="6" t="s">
        <v>70</v>
      </c>
      <c r="C5" s="70"/>
      <c r="D5" s="69">
        <v>1</v>
      </c>
      <c r="E5" s="15">
        <f>D5+1</f>
        <v>2</v>
      </c>
      <c r="F5" s="15">
        <f aca="true" t="shared" si="1" ref="F5:M5">E5+1</f>
        <v>3</v>
      </c>
      <c r="G5" s="15">
        <f t="shared" si="1"/>
        <v>4</v>
      </c>
      <c r="H5" s="15">
        <f t="shared" si="1"/>
        <v>5</v>
      </c>
      <c r="I5" s="15">
        <f t="shared" si="1"/>
        <v>6</v>
      </c>
      <c r="J5" s="15">
        <f t="shared" si="1"/>
        <v>7</v>
      </c>
      <c r="K5" s="15">
        <f t="shared" si="1"/>
        <v>8</v>
      </c>
      <c r="L5" s="15">
        <f t="shared" si="1"/>
        <v>9</v>
      </c>
      <c r="M5" s="15">
        <f t="shared" si="1"/>
        <v>10</v>
      </c>
      <c r="N5" s="1"/>
      <c r="O5" s="132"/>
      <c r="P5" s="173"/>
      <c r="Q5" s="1"/>
      <c r="R5" s="1"/>
      <c r="S5" s="1"/>
      <c r="T5" s="1"/>
      <c r="U5" s="1"/>
      <c r="V5" s="1"/>
      <c r="W5" s="1"/>
      <c r="X5" s="1"/>
      <c r="Y5" s="1"/>
      <c r="Z5" s="1"/>
      <c r="AA5" s="1"/>
      <c r="AB5" s="1"/>
      <c r="AC5" s="1"/>
      <c r="AD5" s="1"/>
      <c r="AE5" s="1"/>
      <c r="AF5" s="1"/>
      <c r="AG5" s="1"/>
      <c r="AH5" s="1"/>
      <c r="AI5" s="1"/>
      <c r="AJ5" s="1"/>
      <c r="AK5" s="1"/>
      <c r="AL5" s="1"/>
      <c r="AM5" s="1"/>
      <c r="AN5" s="1"/>
      <c r="AO5" s="1"/>
    </row>
    <row r="6" spans="3:16" ht="12.75">
      <c r="C6" s="7"/>
      <c r="D6" s="18"/>
      <c r="E6" s="18"/>
      <c r="F6" s="18"/>
      <c r="G6" s="18"/>
      <c r="H6" s="18"/>
      <c r="I6" s="18"/>
      <c r="J6" s="18"/>
      <c r="K6" s="18"/>
      <c r="L6" s="18"/>
      <c r="M6" s="18"/>
      <c r="O6" s="170"/>
      <c r="P6" s="178"/>
    </row>
    <row r="7" spans="3:16" ht="12.75">
      <c r="C7" s="7"/>
      <c r="D7" s="18"/>
      <c r="E7" s="18"/>
      <c r="F7" s="18"/>
      <c r="G7" s="18"/>
      <c r="H7" s="18"/>
      <c r="I7" s="18"/>
      <c r="J7" s="18"/>
      <c r="K7" s="18"/>
      <c r="L7" s="18"/>
      <c r="M7" s="18"/>
      <c r="O7" s="170"/>
      <c r="P7" s="178"/>
    </row>
    <row r="8" spans="1:16" ht="12.75">
      <c r="A8" t="s">
        <v>0</v>
      </c>
      <c r="C8" s="7"/>
      <c r="D8" s="4">
        <f>sales_yr1</f>
        <v>1100000</v>
      </c>
      <c r="E8" s="4">
        <f aca="true" t="shared" si="2" ref="E8:M8">D8*(1+sales_ann_incr)</f>
        <v>1210000</v>
      </c>
      <c r="F8" s="4">
        <f t="shared" si="2"/>
        <v>1331000</v>
      </c>
      <c r="G8" s="4">
        <f t="shared" si="2"/>
        <v>1464100.0000000002</v>
      </c>
      <c r="H8" s="4">
        <f t="shared" si="2"/>
        <v>1610510.0000000005</v>
      </c>
      <c r="I8" s="4">
        <f t="shared" si="2"/>
        <v>1771561.0000000007</v>
      </c>
      <c r="J8" s="4">
        <f t="shared" si="2"/>
        <v>1948717.100000001</v>
      </c>
      <c r="K8" s="4">
        <f t="shared" si="2"/>
        <v>2143588.8100000015</v>
      </c>
      <c r="L8" s="4">
        <f t="shared" si="2"/>
        <v>2357947.691000002</v>
      </c>
      <c r="M8" s="4">
        <f t="shared" si="2"/>
        <v>2593742.4601000026</v>
      </c>
      <c r="O8" s="170"/>
      <c r="P8" s="178"/>
    </row>
    <row r="9" spans="3:16" ht="12.75">
      <c r="C9" s="7"/>
      <c r="D9" s="4"/>
      <c r="E9" s="4"/>
      <c r="F9" s="4"/>
      <c r="G9" s="4"/>
      <c r="H9" s="4"/>
      <c r="I9" s="4"/>
      <c r="J9" s="4"/>
      <c r="K9" s="4"/>
      <c r="L9" s="4"/>
      <c r="M9" s="4"/>
      <c r="O9" s="170"/>
      <c r="P9" s="179"/>
    </row>
    <row r="10" spans="1:16" ht="12.75">
      <c r="A10" t="str">
        <f>Input!L11</f>
        <v>Cost of goods sold</v>
      </c>
      <c r="C10" s="7"/>
      <c r="D10" s="4">
        <f aca="true" t="shared" si="3" ref="D10:M10">D8*cogs*(1+cogs_ann_incr)^(D5-1)</f>
        <v>495000</v>
      </c>
      <c r="E10" s="4">
        <f t="shared" si="3"/>
        <v>545861.25</v>
      </c>
      <c r="F10" s="4">
        <f t="shared" si="3"/>
        <v>601948.4934375</v>
      </c>
      <c r="G10" s="4">
        <f t="shared" si="3"/>
        <v>663798.701138203</v>
      </c>
      <c r="H10" s="4">
        <f t="shared" si="3"/>
        <v>732004.0176801536</v>
      </c>
      <c r="I10" s="4">
        <f t="shared" si="3"/>
        <v>807217.4304967894</v>
      </c>
      <c r="J10" s="4">
        <f t="shared" si="3"/>
        <v>890159.0214803346</v>
      </c>
      <c r="K10" s="4">
        <f t="shared" si="3"/>
        <v>981622.860937439</v>
      </c>
      <c r="L10" s="4">
        <f t="shared" si="3"/>
        <v>1082484.6098987611</v>
      </c>
      <c r="M10" s="4">
        <f t="shared" si="3"/>
        <v>1193709.903565859</v>
      </c>
      <c r="O10" s="170"/>
      <c r="P10" s="178"/>
    </row>
    <row r="11" spans="3:16" ht="12.75">
      <c r="C11" s="7"/>
      <c r="D11" s="4"/>
      <c r="E11" s="4"/>
      <c r="F11" s="4"/>
      <c r="G11" s="4"/>
      <c r="H11" s="4"/>
      <c r="I11" s="4"/>
      <c r="J11" s="4"/>
      <c r="K11" s="4"/>
      <c r="L11" s="4"/>
      <c r="M11" s="4"/>
      <c r="O11" s="174"/>
      <c r="P11" s="180"/>
    </row>
    <row r="12" spans="1:16" ht="12.75">
      <c r="A12" t="s">
        <v>1</v>
      </c>
      <c r="C12" s="7"/>
      <c r="D12" s="4">
        <f>D8-D10</f>
        <v>605000</v>
      </c>
      <c r="E12" s="4">
        <f aca="true" t="shared" si="4" ref="E12:M12">E8-E10</f>
        <v>664138.75</v>
      </c>
      <c r="F12" s="4">
        <f t="shared" si="4"/>
        <v>729051.5065625</v>
      </c>
      <c r="G12" s="4">
        <f t="shared" si="4"/>
        <v>800301.2988617972</v>
      </c>
      <c r="H12" s="4">
        <f t="shared" si="4"/>
        <v>878505.9823198469</v>
      </c>
      <c r="I12" s="4">
        <f t="shared" si="4"/>
        <v>964343.5695032113</v>
      </c>
      <c r="J12" s="4">
        <f t="shared" si="4"/>
        <v>1058558.0785196666</v>
      </c>
      <c r="K12" s="4">
        <f t="shared" si="4"/>
        <v>1161965.9490625625</v>
      </c>
      <c r="L12" s="4">
        <f t="shared" si="4"/>
        <v>1275463.0811012408</v>
      </c>
      <c r="M12" s="4">
        <f t="shared" si="4"/>
        <v>1400032.5565341436</v>
      </c>
      <c r="O12" s="170"/>
      <c r="P12" s="178"/>
    </row>
    <row r="13" spans="3:16" ht="12.75">
      <c r="C13" s="7"/>
      <c r="D13" s="4"/>
      <c r="E13" s="4"/>
      <c r="F13" s="4"/>
      <c r="G13" s="4"/>
      <c r="H13" s="4"/>
      <c r="I13" s="4"/>
      <c r="J13" s="4"/>
      <c r="K13" s="4"/>
      <c r="L13" s="4"/>
      <c r="M13" s="4"/>
      <c r="O13" s="170"/>
      <c r="P13" s="178"/>
    </row>
    <row r="14" spans="1:16" ht="12.75">
      <c r="A14" s="6" t="s">
        <v>73</v>
      </c>
      <c r="C14" s="7"/>
      <c r="D14" s="4">
        <f>SUM(D15:D16)</f>
        <v>286000</v>
      </c>
      <c r="E14" s="4">
        <f aca="true" t="shared" si="5" ref="E14:M14">SUM(E15:E16)</f>
        <v>315664.80000000005</v>
      </c>
      <c r="F14" s="4">
        <f t="shared" si="5"/>
        <v>348407.57787000004</v>
      </c>
      <c r="G14" s="4">
        <f t="shared" si="5"/>
        <v>384547.80918571056</v>
      </c>
      <c r="H14" s="4">
        <f t="shared" si="5"/>
        <v>424438.1404228243</v>
      </c>
      <c r="I14" s="4">
        <f t="shared" si="5"/>
        <v>468467.8342289129</v>
      </c>
      <c r="J14" s="4">
        <f t="shared" si="5"/>
        <v>517066.5726561778</v>
      </c>
      <c r="K14" s="4">
        <f t="shared" si="5"/>
        <v>570708.6555592923</v>
      </c>
      <c r="L14" s="4">
        <f t="shared" si="5"/>
        <v>629917.6352306292</v>
      </c>
      <c r="M14" s="4">
        <f t="shared" si="5"/>
        <v>695271.4326155166</v>
      </c>
      <c r="O14" s="175"/>
      <c r="P14" s="178"/>
    </row>
    <row r="15" spans="1:16" ht="12.75">
      <c r="A15" s="21" t="str">
        <f>Input!L13</f>
        <v>SG&amp;A expenses</v>
      </c>
      <c r="C15" s="7"/>
      <c r="D15" s="17">
        <f aca="true" t="shared" si="6" ref="D15:M15">D8*sga_exp*(1+sga_exp_ann_incr)^(D5-1)</f>
        <v>154000.00000000003</v>
      </c>
      <c r="E15" s="17">
        <f t="shared" si="6"/>
        <v>170247</v>
      </c>
      <c r="F15" s="17">
        <f t="shared" si="6"/>
        <v>188208.05849999998</v>
      </c>
      <c r="G15" s="17">
        <f t="shared" si="6"/>
        <v>208064.00867175</v>
      </c>
      <c r="H15" s="17">
        <f t="shared" si="6"/>
        <v>230014.76158661957</v>
      </c>
      <c r="I15" s="17">
        <f t="shared" si="6"/>
        <v>254281.31893400793</v>
      </c>
      <c r="J15" s="17">
        <f t="shared" si="6"/>
        <v>281107.9980815457</v>
      </c>
      <c r="K15" s="17">
        <f t="shared" si="6"/>
        <v>310764.8918791488</v>
      </c>
      <c r="L15" s="17">
        <f t="shared" si="6"/>
        <v>343550.5879723991</v>
      </c>
      <c r="M15" s="17">
        <f t="shared" si="6"/>
        <v>379795.17500348715</v>
      </c>
      <c r="O15" s="170"/>
      <c r="P15" s="178"/>
    </row>
    <row r="16" spans="1:16" ht="12.75">
      <c r="A16" s="21" t="str">
        <f>Input!L15</f>
        <v>Other expenses</v>
      </c>
      <c r="C16" s="7"/>
      <c r="D16" s="17">
        <f aca="true" t="shared" si="7" ref="D16:M16">D8*other_exp*(1+other_exp_ann_incr)^(D5-1)</f>
        <v>132000</v>
      </c>
      <c r="E16" s="17">
        <f t="shared" si="7"/>
        <v>145417.80000000002</v>
      </c>
      <c r="F16" s="17">
        <f t="shared" si="7"/>
        <v>160199.51937000002</v>
      </c>
      <c r="G16" s="17">
        <f t="shared" si="7"/>
        <v>176483.80051396057</v>
      </c>
      <c r="H16" s="17">
        <f t="shared" si="7"/>
        <v>194423.3788362047</v>
      </c>
      <c r="I16" s="17">
        <f t="shared" si="7"/>
        <v>214186.51529490497</v>
      </c>
      <c r="J16" s="17">
        <f t="shared" si="7"/>
        <v>235958.5745746321</v>
      </c>
      <c r="K16" s="17">
        <f t="shared" si="7"/>
        <v>259943.76368014354</v>
      </c>
      <c r="L16" s="17">
        <f t="shared" si="7"/>
        <v>286367.0472582302</v>
      </c>
      <c r="M16" s="17">
        <f t="shared" si="7"/>
        <v>315476.25761202944</v>
      </c>
      <c r="O16" s="170"/>
      <c r="P16" s="178"/>
    </row>
    <row r="17" spans="3:16" ht="12.75">
      <c r="C17" s="7"/>
      <c r="D17" s="4"/>
      <c r="E17" s="4"/>
      <c r="F17" s="4"/>
      <c r="G17" s="4"/>
      <c r="H17" s="4"/>
      <c r="I17" s="4"/>
      <c r="J17" s="4"/>
      <c r="K17" s="4"/>
      <c r="L17" s="4"/>
      <c r="M17" s="4"/>
      <c r="O17" s="174"/>
      <c r="P17" s="180"/>
    </row>
    <row r="18" spans="1:16" ht="12.75">
      <c r="A18" t="s">
        <v>17</v>
      </c>
      <c r="C18" s="7"/>
      <c r="D18" s="4">
        <f aca="true" t="shared" si="8" ref="D18:M18">D12-D14</f>
        <v>319000</v>
      </c>
      <c r="E18" s="4">
        <f t="shared" si="8"/>
        <v>348473.94999999995</v>
      </c>
      <c r="F18" s="4">
        <f t="shared" si="8"/>
        <v>380643.9286925</v>
      </c>
      <c r="G18" s="4">
        <f t="shared" si="8"/>
        <v>415753.48967608664</v>
      </c>
      <c r="H18" s="4">
        <f t="shared" si="8"/>
        <v>454067.84189702256</v>
      </c>
      <c r="I18" s="4">
        <f t="shared" si="8"/>
        <v>495875.7352742984</v>
      </c>
      <c r="J18" s="4">
        <f t="shared" si="8"/>
        <v>541491.5058634888</v>
      </c>
      <c r="K18" s="4">
        <f t="shared" si="8"/>
        <v>591257.2935032703</v>
      </c>
      <c r="L18" s="4">
        <f t="shared" si="8"/>
        <v>645545.4458706116</v>
      </c>
      <c r="M18" s="4">
        <f t="shared" si="8"/>
        <v>704761.123918627</v>
      </c>
      <c r="O18" s="170"/>
      <c r="P18" s="178"/>
    </row>
    <row r="19" spans="3:16" ht="12.75">
      <c r="C19" s="7"/>
      <c r="D19" s="4"/>
      <c r="E19" s="4"/>
      <c r="F19" s="4"/>
      <c r="G19" s="4"/>
      <c r="H19" s="4"/>
      <c r="I19" s="4"/>
      <c r="J19" s="4"/>
      <c r="K19" s="4"/>
      <c r="L19" s="4"/>
      <c r="M19" s="4"/>
      <c r="O19" s="170"/>
      <c r="P19" s="178"/>
    </row>
    <row r="20" spans="1:16" ht="12.75">
      <c r="A20" t="s">
        <v>18</v>
      </c>
      <c r="C20" s="7"/>
      <c r="D20" s="4">
        <f>Depr_Amort!F39+Depr_Amort!F42+Depr_Amort!F43</f>
        <v>72924.16666666667</v>
      </c>
      <c r="E20" s="4">
        <f>Depr_Amort!G39+Depr_Amort!G42+Depr_Amort!G43</f>
        <v>85024.16666666667</v>
      </c>
      <c r="F20" s="4">
        <f>Depr_Amort!H39+Depr_Amort!H42+Depr_Amort!H43</f>
        <v>93897.50000000001</v>
      </c>
      <c r="G20" s="4">
        <f>Depr_Amort!I39+Depr_Amort!I42+Depr_Amort!I43</f>
        <v>104355.35714285714</v>
      </c>
      <c r="H20" s="4">
        <f>Depr_Amort!J39+Depr_Amort!J42+Depr_Amort!J43</f>
        <v>117776.27380952383</v>
      </c>
      <c r="I20" s="4">
        <f>Depr_Amort!K39+Depr_Amort!K42+Depr_Amort!K43</f>
        <v>128848.53005952384</v>
      </c>
      <c r="J20" s="4">
        <f>Depr_Amort!L39+Depr_Amort!L42+Depr_Amort!L43</f>
        <v>101531.64405952384</v>
      </c>
      <c r="K20" s="4">
        <f>Depr_Amort!M39+Depr_Amort!M42+Depr_Amort!M43</f>
        <v>115822.23612619052</v>
      </c>
      <c r="L20" s="4">
        <f>Depr_Amort!N39+Depr_Amort!N42+Depr_Amort!N43</f>
        <v>128046.8002178572</v>
      </c>
      <c r="M20" s="4">
        <f>Depr_Amort!O39+Depr_Amort!O42+Depr_Amort!O43</f>
        <v>149661.32071869055</v>
      </c>
      <c r="O20" s="170"/>
      <c r="P20" s="178"/>
    </row>
    <row r="21" spans="3:16" ht="12.75">
      <c r="C21" s="7"/>
      <c r="D21" s="4"/>
      <c r="E21" s="4"/>
      <c r="F21" s="4"/>
      <c r="G21" s="4"/>
      <c r="H21" s="4"/>
      <c r="I21" s="4"/>
      <c r="J21" s="4"/>
      <c r="K21" s="4"/>
      <c r="L21" s="4"/>
      <c r="M21" s="4"/>
      <c r="O21" s="174"/>
      <c r="P21" s="180"/>
    </row>
    <row r="22" spans="1:16" ht="12.75">
      <c r="A22" t="s">
        <v>16</v>
      </c>
      <c r="C22" s="7"/>
      <c r="D22" s="4">
        <f>D18-D20</f>
        <v>246075.8333333333</v>
      </c>
      <c r="E22" s="4">
        <f aca="true" t="shared" si="9" ref="E22:M22">E18-E20</f>
        <v>263449.78333333327</v>
      </c>
      <c r="F22" s="4">
        <f t="shared" si="9"/>
        <v>286746.4286925</v>
      </c>
      <c r="G22" s="4">
        <f t="shared" si="9"/>
        <v>311398.1325332295</v>
      </c>
      <c r="H22" s="4">
        <f t="shared" si="9"/>
        <v>336291.5680874987</v>
      </c>
      <c r="I22" s="4">
        <f t="shared" si="9"/>
        <v>367027.2052147746</v>
      </c>
      <c r="J22" s="4">
        <f t="shared" si="9"/>
        <v>439959.86180396494</v>
      </c>
      <c r="K22" s="4">
        <f t="shared" si="9"/>
        <v>475435.05737707973</v>
      </c>
      <c r="L22" s="4">
        <f t="shared" si="9"/>
        <v>517498.64565275435</v>
      </c>
      <c r="M22" s="4">
        <f t="shared" si="9"/>
        <v>555099.8031999365</v>
      </c>
      <c r="O22" s="170"/>
      <c r="P22" s="178"/>
    </row>
    <row r="23" spans="3:16" ht="12.75">
      <c r="C23" s="7"/>
      <c r="D23" s="4"/>
      <c r="E23" s="4"/>
      <c r="F23" s="4"/>
      <c r="G23" s="4"/>
      <c r="H23" s="4"/>
      <c r="I23" s="4"/>
      <c r="J23" s="4"/>
      <c r="K23" s="4"/>
      <c r="L23" s="4"/>
      <c r="M23" s="4"/>
      <c r="O23" s="170"/>
      <c r="P23" s="178"/>
    </row>
    <row r="24" spans="1:16" ht="12.75">
      <c r="A24" t="s">
        <v>19</v>
      </c>
      <c r="C24" s="7"/>
      <c r="D24" s="4">
        <f>SUM(D25:D32)</f>
        <v>32061.16364908715</v>
      </c>
      <c r="E24" s="4">
        <f aca="true" t="shared" si="10" ref="E24:M24">SUM(E25:E32)</f>
        <v>30508.69786817555</v>
      </c>
      <c r="F24" s="4">
        <f t="shared" si="10"/>
        <v>26834.517653072413</v>
      </c>
      <c r="G24" s="4">
        <f t="shared" si="10"/>
        <v>22778.251547646105</v>
      </c>
      <c r="H24" s="4">
        <f t="shared" si="10"/>
        <v>20741.14068810368</v>
      </c>
      <c r="I24" s="4">
        <f t="shared" si="10"/>
        <v>16059.281918119772</v>
      </c>
      <c r="J24" s="4">
        <f t="shared" si="10"/>
        <v>12049.403953086901</v>
      </c>
      <c r="K24" s="4">
        <f t="shared" si="10"/>
        <v>8160.724171692893</v>
      </c>
      <c r="L24" s="4">
        <f t="shared" si="10"/>
        <v>5999.999999999984</v>
      </c>
      <c r="M24" s="4">
        <f t="shared" si="10"/>
        <v>6000.000000000006</v>
      </c>
      <c r="O24" s="174"/>
      <c r="P24" s="172"/>
    </row>
    <row r="25" spans="1:16" ht="12.75">
      <c r="A25" s="21" t="str">
        <f>Bal_Sheet!A46</f>
        <v>Existing Debt</v>
      </c>
      <c r="C25" s="7"/>
      <c r="D25" s="136">
        <f>IF(assumed_debt_avg_int=1,AVERAGE(Bal_Sheet!E46,Bal_Sheet!F46)*assumed_debt_cou_rate,Bal_Sheet!E46*assumed_debt_cou_rate)</f>
        <v>2609.027777777778</v>
      </c>
      <c r="E25" s="136">
        <f>IF(assumed_debt_avg_int=1,AVERAGE(Bal_Sheet!F46,Bal_Sheet!G46)*assumed_debt_cou_rate,Bal_Sheet!F46*assumed_debt_cou_rate)</f>
        <v>1227.7777777777778</v>
      </c>
      <c r="F25" s="136">
        <f>IF(assumed_debt_avg_int=1,AVERAGE(Bal_Sheet!G46,Bal_Sheet!H46)*assumed_debt_cou_rate,Bal_Sheet!G46*assumed_debt_cou_rate)</f>
        <v>0</v>
      </c>
      <c r="G25" s="136">
        <f>IF(assumed_debt_avg_int=1,AVERAGE(Bal_Sheet!H46,Bal_Sheet!I46)*assumed_debt_cou_rate,Bal_Sheet!H46*assumed_debt_cou_rate)</f>
        <v>0</v>
      </c>
      <c r="H25" s="136">
        <f>IF(assumed_debt_avg_int=1,AVERAGE(Bal_Sheet!I46,Bal_Sheet!J46)*assumed_debt_cou_rate,Bal_Sheet!I46*assumed_debt_cou_rate)</f>
        <v>0</v>
      </c>
      <c r="I25" s="136">
        <f>IF(assumed_debt_avg_int=1,AVERAGE(Bal_Sheet!J46,Bal_Sheet!K46)*assumed_debt_cou_rate,Bal_Sheet!J46*assumed_debt_cou_rate)</f>
        <v>0</v>
      </c>
      <c r="J25" s="136">
        <f>IF(assumed_debt_avg_int=1,AVERAGE(Bal_Sheet!K46,Bal_Sheet!L46)*assumed_debt_cou_rate,Bal_Sheet!K46*assumed_debt_cou_rate)</f>
        <v>0</v>
      </c>
      <c r="K25" s="136">
        <f>IF(assumed_debt_avg_int=1,AVERAGE(Bal_Sheet!L46,Bal_Sheet!M46)*assumed_debt_cou_rate,Bal_Sheet!L46*assumed_debt_cou_rate)</f>
        <v>0</v>
      </c>
      <c r="L25" s="136">
        <f>IF(assumed_debt_avg_int=1,AVERAGE(Bal_Sheet!M46,Bal_Sheet!N46)*assumed_debt_cou_rate,Bal_Sheet!M46*assumed_debt_cou_rate)</f>
        <v>0</v>
      </c>
      <c r="M25" s="136">
        <f>IF(assumed_debt_avg_int=1,AVERAGE(Bal_Sheet!N46,Bal_Sheet!O46)*assumed_debt_cou_rate,Bal_Sheet!N46*assumed_debt_cou_rate)</f>
        <v>0</v>
      </c>
      <c r="O25" s="170"/>
      <c r="P25" s="171"/>
    </row>
    <row r="26" spans="1:16" ht="12.75">
      <c r="A26" s="21" t="str">
        <f>Bal_Sheet!A47</f>
        <v>Bank Revolver</v>
      </c>
      <c r="C26" s="7"/>
      <c r="D26" s="17">
        <f>Bal_Sheet!E47*bank_revolver_cou_rate+(revolver_limit-Bal_Sheet!E47)*undrawn_commit_fee</f>
        <v>13533.28125</v>
      </c>
      <c r="E26" s="17">
        <f>Bal_Sheet!F47*bank_revolver_cou_rate+(revolver_limit-Bal_Sheet!F47)*undrawn_commit_fee</f>
        <v>14005.141199575968</v>
      </c>
      <c r="F26" s="17">
        <f>Bal_Sheet!G47*bank_revolver_cou_rate+(revolver_limit-Bal_Sheet!G47)*undrawn_commit_fee</f>
        <v>14005.141199575968</v>
      </c>
      <c r="G26" s="17">
        <f>Bal_Sheet!H47*bank_revolver_cou_rate+(revolver_limit-Bal_Sheet!H47)*undrawn_commit_fee</f>
        <v>14005.141199575968</v>
      </c>
      <c r="H26" s="17">
        <f>Bal_Sheet!I47*bank_revolver_cou_rate+(revolver_limit-Bal_Sheet!I47)*undrawn_commit_fee</f>
        <v>14005.141199575968</v>
      </c>
      <c r="I26" s="17">
        <f>Bal_Sheet!J47*bank_revolver_cou_rate+(revolver_limit-Bal_Sheet!J47)*undrawn_commit_fee</f>
        <v>14005.141199575968</v>
      </c>
      <c r="J26" s="17">
        <f>Bal_Sheet!K47*bank_revolver_cou_rate+(revolver_limit-Bal_Sheet!K47)*undrawn_commit_fee</f>
        <v>12049.403953086912</v>
      </c>
      <c r="K26" s="17">
        <f>Bal_Sheet!L47*bank_revolver_cou_rate+(revolver_limit-Bal_Sheet!L47)*undrawn_commit_fee</f>
        <v>8160.7241716929075</v>
      </c>
      <c r="L26" s="17">
        <f>Bal_Sheet!M47*bank_revolver_cou_rate+(revolver_limit-Bal_Sheet!M47)*undrawn_commit_fee</f>
        <v>5999.999999999997</v>
      </c>
      <c r="M26" s="17">
        <f>Bal_Sheet!N47*bank_revolver_cou_rate+(revolver_limit-Bal_Sheet!N47)*undrawn_commit_fee</f>
        <v>5999.99999999998</v>
      </c>
      <c r="O26" s="170"/>
      <c r="P26" s="171"/>
    </row>
    <row r="27" spans="1:16" ht="12.75">
      <c r="A27" s="21" t="str">
        <f>Bal_Sheet!A48</f>
        <v>Term Loan "A"</v>
      </c>
      <c r="C27" s="7"/>
      <c r="D27" s="17">
        <f>IF(termloanA_avg_int=1,AVERAGE(Bal_Sheet!E48,Bal_Sheet!F48)*termloanA_cou_rate,Bal_Sheet!E48*termloanA_cou_rate)</f>
        <v>4125</v>
      </c>
      <c r="E27" s="17">
        <f>IF(termloanA_avg_int=1,AVERAGE(Bal_Sheet!F48,Bal_Sheet!G48)*termloanA_cou_rate,Bal_Sheet!F48*termloanA_cou_rate)</f>
        <v>3499.7482180426077</v>
      </c>
      <c r="F27" s="17">
        <f>IF(termloanA_avg_int=1,AVERAGE(Bal_Sheet!G48,Bal_Sheet!H48)*termloanA_cou_rate,Bal_Sheet!G48*termloanA_cou_rate)</f>
        <v>1574.7482180426077</v>
      </c>
      <c r="G27" s="17">
        <f>IF(termloanA_avg_int=1,AVERAGE(Bal_Sheet!H48,Bal_Sheet!I48)*termloanA_cou_rate,Bal_Sheet!H48*termloanA_cou_rate)</f>
        <v>0</v>
      </c>
      <c r="H27" s="17">
        <f>IF(termloanA_avg_int=1,AVERAGE(Bal_Sheet!I48,Bal_Sheet!J48)*termloanA_cou_rate,Bal_Sheet!I48*termloanA_cou_rate)</f>
        <v>0</v>
      </c>
      <c r="I27" s="17">
        <f>IF(termloanA_avg_int=1,AVERAGE(Bal_Sheet!J48,Bal_Sheet!K48)*termloanA_cou_rate,Bal_Sheet!J48*termloanA_cou_rate)</f>
        <v>0</v>
      </c>
      <c r="J27" s="17">
        <f>IF(termloanA_avg_int=1,AVERAGE(Bal_Sheet!K48,Bal_Sheet!L48)*termloanA_cou_rate,Bal_Sheet!K48*termloanA_cou_rate)</f>
        <v>0</v>
      </c>
      <c r="K27" s="17">
        <f>IF(termloanA_avg_int=1,AVERAGE(Bal_Sheet!L48,Bal_Sheet!M48)*termloanA_cou_rate,Bal_Sheet!L48*termloanA_cou_rate)</f>
        <v>0</v>
      </c>
      <c r="L27" s="17">
        <f>IF(termloanA_avg_int=1,AVERAGE(Bal_Sheet!M48,Bal_Sheet!N48)*termloanA_cou_rate,Bal_Sheet!M48*termloanA_cou_rate)</f>
        <v>0</v>
      </c>
      <c r="M27" s="17">
        <f>IF(termloanA_avg_int=1,AVERAGE(Bal_Sheet!N48,Bal_Sheet!O48)*termloanA_cou_rate,Bal_Sheet!N48*termloanA_cou_rate)</f>
        <v>0</v>
      </c>
      <c r="P27" s="169"/>
    </row>
    <row r="28" spans="1:16" ht="12.75">
      <c r="A28" s="21" t="str">
        <f>Bal_Sheet!A49</f>
        <v>Term Loan "B"</v>
      </c>
      <c r="C28" s="7"/>
      <c r="D28" s="17">
        <f>IF(termloanB_avg_int=1,AVERAGE(Bal_Sheet!E49,Bal_Sheet!F49)*termloanB_cou_rate,Bal_Sheet!E49*termloanB_cou_rate)</f>
        <v>2829.75</v>
      </c>
      <c r="E28" s="17">
        <f>IF(termloanB_avg_int=1,AVERAGE(Bal_Sheet!F49,Bal_Sheet!G49)*termloanB_cou_rate,Bal_Sheet!F49*termloanB_cou_rate)</f>
        <v>2714.25</v>
      </c>
      <c r="F28" s="17">
        <f>IF(termloanB_avg_int=1,AVERAGE(Bal_Sheet!G49,Bal_Sheet!H49)*termloanB_cou_rate,Bal_Sheet!G49*termloanB_cou_rate)</f>
        <v>2091.891157659586</v>
      </c>
      <c r="G28" s="17">
        <f>IF(termloanB_avg_int=1,AVERAGE(Bal_Sheet!H49,Bal_Sheet!I49)*termloanB_cou_rate,Bal_Sheet!H49*termloanB_cou_rate)</f>
        <v>763.6411576595843</v>
      </c>
      <c r="H28" s="17">
        <f>IF(termloanB_avg_int=1,AVERAGE(Bal_Sheet!I49,Bal_Sheet!J49)*termloanB_cou_rate,Bal_Sheet!I49*termloanB_cou_rate)</f>
        <v>-3.0559021979570388E-12</v>
      </c>
      <c r="I28" s="17">
        <f>IF(termloanB_avg_int=1,AVERAGE(Bal_Sheet!J49,Bal_Sheet!K49)*termloanB_cou_rate,Bal_Sheet!J49*termloanB_cou_rate)</f>
        <v>-1.5279510989785194E-12</v>
      </c>
      <c r="J28" s="17">
        <f>IF(termloanB_avg_int=1,AVERAGE(Bal_Sheet!K49,Bal_Sheet!L49)*termloanB_cou_rate,Bal_Sheet!K49*termloanB_cou_rate)</f>
        <v>4.583853296935558E-12</v>
      </c>
      <c r="K28" s="17">
        <f>IF(termloanB_avg_int=1,AVERAGE(Bal_Sheet!L49,Bal_Sheet!M49)*termloanB_cou_rate,Bal_Sheet!L49*termloanB_cou_rate)</f>
        <v>1.8335413187742233E-11</v>
      </c>
      <c r="L28" s="17">
        <f>IF(termloanB_avg_int=1,AVERAGE(Bal_Sheet!M49,Bal_Sheet!N49)*termloanB_cou_rate,Bal_Sheet!M49*termloanB_cou_rate)</f>
        <v>4.1254679672420024E-11</v>
      </c>
      <c r="M28" s="17">
        <f>IF(termloanB_avg_int=1,AVERAGE(Bal_Sheet!N49,Bal_Sheet!O49)*termloanB_cou_rate,Bal_Sheet!N49*termloanB_cou_rate)</f>
        <v>6.875779945403337E-11</v>
      </c>
      <c r="P28" s="169"/>
    </row>
    <row r="29" spans="1:16" ht="12.75">
      <c r="A29" s="21" t="str">
        <f>Bal_Sheet!A50</f>
        <v>Senior Notes</v>
      </c>
      <c r="C29" s="7"/>
      <c r="D29" s="17">
        <f>IF(senior_notes_avg_int=1,AVERAGE(Bal_Sheet!E50,Bal_Sheet!F50)*senior_notes_cou_rate,Bal_Sheet!E50*senior_notes_cou_rate)</f>
        <v>2762.5</v>
      </c>
      <c r="E29" s="17">
        <f>IF(senior_notes_avg_int=1,AVERAGE(Bal_Sheet!F50,Bal_Sheet!G50)*senior_notes_cou_rate,Bal_Sheet!F50*senior_notes_cou_rate)</f>
        <v>2762.5</v>
      </c>
      <c r="F29" s="17">
        <f>IF(senior_notes_avg_int=1,AVERAGE(Bal_Sheet!G50,Bal_Sheet!H50)*senior_notes_cou_rate,Bal_Sheet!G50*senior_notes_cou_rate)</f>
        <v>2762.5</v>
      </c>
      <c r="G29" s="17">
        <f>IF(senior_notes_avg_int=1,AVERAGE(Bal_Sheet!H50,Bal_Sheet!I50)*senior_notes_cou_rate,Bal_Sheet!H50*senior_notes_cou_rate)</f>
        <v>1504.9078573870165</v>
      </c>
      <c r="H29" s="17">
        <f>IF(senior_notes_avg_int=1,AVERAGE(Bal_Sheet!I50,Bal_Sheet!J50)*senior_notes_cou_rate,Bal_Sheet!I50*senior_notes_cou_rate)</f>
        <v>123.65785738701395</v>
      </c>
      <c r="I29" s="17">
        <f>IF(senior_notes_avg_int=1,AVERAGE(Bal_Sheet!J50,Bal_Sheet!K50)*senior_notes_cou_rate,Bal_Sheet!J50*senior_notes_cou_rate)</f>
        <v>-7.421476766467095E-12</v>
      </c>
      <c r="J29" s="17">
        <f>IF(senior_notes_avg_int=1,AVERAGE(Bal_Sheet!K50,Bal_Sheet!L50)*senior_notes_cou_rate,Bal_Sheet!K50*senior_notes_cou_rate)</f>
        <v>-1.2369127944111825E-11</v>
      </c>
      <c r="K29" s="17">
        <f>IF(senior_notes_avg_int=1,AVERAGE(Bal_Sheet!L50,Bal_Sheet!M50)*senior_notes_cou_rate,Bal_Sheet!L50*senior_notes_cou_rate)</f>
        <v>-1.484295353293419E-11</v>
      </c>
      <c r="L29" s="17">
        <f>IF(senior_notes_avg_int=1,AVERAGE(Bal_Sheet!M50,Bal_Sheet!N50)*senior_notes_cou_rate,Bal_Sheet!M50*senior_notes_cou_rate)</f>
        <v>-7.421476766467095E-12</v>
      </c>
      <c r="M29" s="17">
        <f>IF(senior_notes_avg_int=1,AVERAGE(Bal_Sheet!N50,Bal_Sheet!O50)*senior_notes_cou_rate,Bal_Sheet!N50*senior_notes_cou_rate)</f>
        <v>0</v>
      </c>
      <c r="P29" s="169"/>
    </row>
    <row r="30" spans="1:13" ht="12.75">
      <c r="A30" s="21" t="str">
        <f>Bal_Sheet!A51</f>
        <v>Subordinated Notes</v>
      </c>
      <c r="C30" s="7"/>
      <c r="D30" s="17">
        <f>IF(sub_notes_avg_int=1,AVERAGE(Bal_Sheet!E51,Bal_Sheet!F51)*sub_notes_cou_rate,Bal_Sheet!E51*sub_notes_cou_rate)</f>
        <v>1800</v>
      </c>
      <c r="E30" s="17">
        <f>IF(sub_notes_avg_int=1,AVERAGE(Bal_Sheet!F51,Bal_Sheet!G51)*sub_notes_cou_rate,Bal_Sheet!F51*sub_notes_cou_rate)</f>
        <v>1881</v>
      </c>
      <c r="F30" s="17">
        <f>IF(sub_notes_avg_int=1,AVERAGE(Bal_Sheet!G51,Bal_Sheet!H51)*sub_notes_cou_rate,Bal_Sheet!G51*sub_notes_cou_rate)</f>
        <v>1965.645</v>
      </c>
      <c r="G30" s="17">
        <f>IF(sub_notes_avg_int=1,AVERAGE(Bal_Sheet!H51,Bal_Sheet!I51)*sub_notes_cou_rate,Bal_Sheet!H51*sub_notes_cou_rate)</f>
        <v>2054.099025</v>
      </c>
      <c r="H30" s="17">
        <f>IF(sub_notes_avg_int=1,AVERAGE(Bal_Sheet!I51,Bal_Sheet!J51)*sub_notes_cou_rate,Bal_Sheet!I51*sub_notes_cou_rate)</f>
        <v>2146.533481125</v>
      </c>
      <c r="I30" s="17">
        <f>IF(sub_notes_avg_int=1,AVERAGE(Bal_Sheet!J51,Bal_Sheet!K51)*sub_notes_cou_rate,Bal_Sheet!J51*sub_notes_cou_rate)</f>
        <v>96.59400665062498</v>
      </c>
      <c r="J30" s="17">
        <f>IF(sub_notes_avg_int=1,AVERAGE(Bal_Sheet!K51,Bal_Sheet!L51)*sub_notes_cou_rate,Bal_Sheet!K51*sub_notes_cou_rate)</f>
        <v>0</v>
      </c>
      <c r="K30" s="17">
        <f>IF(sub_notes_avg_int=1,AVERAGE(Bal_Sheet!L51,Bal_Sheet!M51)*sub_notes_cou_rate,Bal_Sheet!L51*sub_notes_cou_rate)</f>
        <v>0</v>
      </c>
      <c r="L30" s="17">
        <f>IF(sub_notes_avg_int=1,AVERAGE(Bal_Sheet!M51,Bal_Sheet!N51)*sub_notes_cou_rate,Bal_Sheet!M51*sub_notes_cou_rate)</f>
        <v>0</v>
      </c>
      <c r="M30" s="17">
        <f>IF(sub_notes_avg_int=1,AVERAGE(Bal_Sheet!N51,Bal_Sheet!O51)*sub_notes_cou_rate,Bal_Sheet!N51*sub_notes_cou_rate)</f>
        <v>0</v>
      </c>
    </row>
    <row r="31" spans="1:13" ht="12.75">
      <c r="A31" s="21" t="str">
        <f>Bal_Sheet!A52</f>
        <v>Mezzanine Debt</v>
      </c>
      <c r="C31" s="7"/>
      <c r="D31" s="17">
        <f>IF(mezzdebt_avg_int=1,AVERAGE(Bal_Sheet!E52,Bal_Sheet!F52)*mezzdebt_cou_rate,Bal_Sheet!E52*mezzdebt_cou_rate)</f>
        <v>3150</v>
      </c>
      <c r="E31" s="17">
        <f>IF(mezzdebt_avg_int=1,AVERAGE(Bal_Sheet!F52,Bal_Sheet!G52)*mezzdebt_cou_rate,Bal_Sheet!F52*mezzdebt_cou_rate)</f>
        <v>3291.75</v>
      </c>
      <c r="F31" s="17">
        <f>IF(mezzdebt_avg_int=1,AVERAGE(Bal_Sheet!G52,Bal_Sheet!H52)*mezzdebt_cou_rate,Bal_Sheet!G52*mezzdebt_cou_rate)</f>
        <v>3439.87875</v>
      </c>
      <c r="G31" s="17">
        <f>IF(mezzdebt_avg_int=1,AVERAGE(Bal_Sheet!H52,Bal_Sheet!I52)*mezzdebt_cou_rate,Bal_Sheet!H52*mezzdebt_cou_rate)</f>
        <v>3594.67329375</v>
      </c>
      <c r="H31" s="17">
        <f>IF(mezzdebt_avg_int=1,AVERAGE(Bal_Sheet!I52,Bal_Sheet!J52)*mezzdebt_cou_rate,Bal_Sheet!I52*mezzdebt_cou_rate)</f>
        <v>3756.43359196875</v>
      </c>
      <c r="I31" s="17">
        <f>IF(mezzdebt_avg_int=1,AVERAGE(Bal_Sheet!J52,Bal_Sheet!K52)*mezzdebt_cou_rate,Bal_Sheet!J52*mezzdebt_cou_rate)</f>
        <v>1640.4238917953458</v>
      </c>
      <c r="J31" s="17">
        <f>IF(mezzdebt_avg_int=1,AVERAGE(Bal_Sheet!K52,Bal_Sheet!L52)*mezzdebt_cou_rate,Bal_Sheet!K52*mezzdebt_cou_rate)</f>
        <v>2.6193447411060332E-12</v>
      </c>
      <c r="K31" s="17">
        <f>IF(mezzdebt_avg_int=1,AVERAGE(Bal_Sheet!L52,Bal_Sheet!M52)*mezzdebt_cou_rate,Bal_Sheet!L52*mezzdebt_cou_rate)</f>
        <v>-2.6193447411060332E-12</v>
      </c>
      <c r="L31" s="17">
        <f>IF(mezzdebt_avg_int=1,AVERAGE(Bal_Sheet!M52,Bal_Sheet!N52)*mezzdebt_cou_rate,Bal_Sheet!M52*mezzdebt_cou_rate)</f>
        <v>-1.57160684466362E-11</v>
      </c>
      <c r="M31" s="17">
        <f>IF(mezzdebt_avg_int=1,AVERAGE(Bal_Sheet!N52,Bal_Sheet!O52)*mezzdebt_cou_rate,Bal_Sheet!N52*mezzdebt_cou_rate)</f>
        <v>-3.9290171116590496E-11</v>
      </c>
    </row>
    <row r="32" spans="1:13" ht="12.75">
      <c r="A32" s="21" t="str">
        <f>Bal_Sheet!A53</f>
        <v>Seller Notes</v>
      </c>
      <c r="C32" s="7"/>
      <c r="D32" s="17">
        <f>IF(seller_notes_avg_int=1,AVERAGE(Bal_Sheet!E53,Bal_Sheet!F53)*seller_notes_cou_rate,Bal_Sheet!E53*seller_notes_cou_rate)</f>
        <v>1251.604621309371</v>
      </c>
      <c r="E32" s="17">
        <f>IF(seller_notes_avg_int=1,AVERAGE(Bal_Sheet!F53,Bal_Sheet!G53)*seller_notes_cou_rate,Bal_Sheet!F53*seller_notes_cou_rate)</f>
        <v>1126.5306727791958</v>
      </c>
      <c r="F32" s="17">
        <f>IF(seller_notes_avg_int=1,AVERAGE(Bal_Sheet!G53,Bal_Sheet!H53)*seller_notes_cou_rate,Bal_Sheet!G53*seller_notes_cou_rate)</f>
        <v>994.7133277942488</v>
      </c>
      <c r="G32" s="17">
        <f>IF(seller_notes_avg_int=1,AVERAGE(Bal_Sheet!H53,Bal_Sheet!I53)*seller_notes_cou_rate,Bal_Sheet!H53*seller_notes_cou_rate)</f>
        <v>855.7890142735279</v>
      </c>
      <c r="H32" s="17">
        <f>IF(seller_notes_avg_int=1,AVERAGE(Bal_Sheet!I53,Bal_Sheet!J53)*seller_notes_cou_rate,Bal_Sheet!I53*seller_notes_cou_rate)</f>
        <v>709.3745580469403</v>
      </c>
      <c r="I32" s="17">
        <f>IF(seller_notes_avg_int=1,AVERAGE(Bal_Sheet!J53,Bal_Sheet!K53)*seller_notes_cou_rate,Bal_Sheet!J53*seller_notes_cou_rate)</f>
        <v>317.1228200978362</v>
      </c>
      <c r="J32" s="17">
        <f>IF(seller_notes_avg_int=1,AVERAGE(Bal_Sheet!K53,Bal_Sheet!L53)*seller_notes_cou_rate,Bal_Sheet!K53*seller_notes_cou_rate)</f>
        <v>0</v>
      </c>
      <c r="K32" s="17">
        <f>IF(seller_notes_avg_int=1,AVERAGE(Bal_Sheet!L53,Bal_Sheet!M53)*seller_notes_cou_rate,Bal_Sheet!L53*seller_notes_cou_rate)</f>
        <v>0</v>
      </c>
      <c r="L32" s="17">
        <f>IF(seller_notes_avg_int=1,AVERAGE(Bal_Sheet!M53,Bal_Sheet!N53)*seller_notes_cou_rate,Bal_Sheet!M53*seller_notes_cou_rate)</f>
        <v>0</v>
      </c>
      <c r="M32" s="17">
        <f>IF(seller_notes_avg_int=1,AVERAGE(Bal_Sheet!N53,Bal_Sheet!O53)*seller_notes_cou_rate,Bal_Sheet!N53*seller_notes_cou_rate)</f>
        <v>0</v>
      </c>
    </row>
    <row r="33" spans="1:13" ht="12.75">
      <c r="A33" s="21"/>
      <c r="C33" s="7"/>
      <c r="D33" s="17"/>
      <c r="E33" s="17"/>
      <c r="F33" s="17"/>
      <c r="G33" s="17"/>
      <c r="H33" s="17"/>
      <c r="I33" s="17"/>
      <c r="J33" s="17"/>
      <c r="K33" s="17"/>
      <c r="L33" s="17"/>
      <c r="M33" s="17"/>
    </row>
    <row r="34" spans="1:13" ht="12.75">
      <c r="A34" s="23" t="s">
        <v>286</v>
      </c>
      <c r="C34" s="7"/>
      <c r="D34" s="17">
        <f>SUM(D36:D37)</f>
        <v>-197.22222222222217</v>
      </c>
      <c r="E34" s="17">
        <f aca="true" t="shared" si="11" ref="E34:M34">SUM(E36:E37)</f>
        <v>-297.2222222222222</v>
      </c>
      <c r="F34" s="17">
        <f t="shared" si="11"/>
        <v>352.7777777777776</v>
      </c>
      <c r="G34" s="17">
        <f t="shared" si="11"/>
        <v>-34.7222222222224</v>
      </c>
      <c r="H34" s="17">
        <f t="shared" si="11"/>
        <v>-256.94444444444457</v>
      </c>
      <c r="I34" s="17">
        <f t="shared" si="11"/>
        <v>520.8333333333335</v>
      </c>
      <c r="J34" s="17">
        <f t="shared" si="11"/>
        <v>-1400</v>
      </c>
      <c r="K34" s="17">
        <f t="shared" si="11"/>
        <v>-1500</v>
      </c>
      <c r="L34" s="17">
        <f t="shared" si="11"/>
        <v>-1600</v>
      </c>
      <c r="M34" s="17">
        <f t="shared" si="11"/>
        <v>-1700</v>
      </c>
    </row>
    <row r="35" spans="1:13" ht="12.75">
      <c r="A35" s="21" t="s">
        <v>284</v>
      </c>
      <c r="C35" s="7"/>
      <c r="D35" s="17"/>
      <c r="E35" s="17"/>
      <c r="F35" s="17"/>
      <c r="G35" s="17"/>
      <c r="H35" s="17"/>
      <c r="I35" s="17"/>
      <c r="J35" s="17"/>
      <c r="K35" s="17"/>
      <c r="L35" s="17"/>
      <c r="M35" s="17"/>
    </row>
    <row r="36" spans="1:13" ht="12.75">
      <c r="A36" s="181" t="s">
        <v>285</v>
      </c>
      <c r="C36" s="7"/>
      <c r="D36" s="17">
        <f>Depr_Amort!F45</f>
        <v>1052.7777777777778</v>
      </c>
      <c r="E36" s="17">
        <f>Depr_Amort!G45</f>
        <v>1052.7777777777778</v>
      </c>
      <c r="F36" s="17">
        <f>Depr_Amort!H45</f>
        <v>1802.7777777777776</v>
      </c>
      <c r="G36" s="17">
        <f>Depr_Amort!I45</f>
        <v>1515.2777777777776</v>
      </c>
      <c r="H36" s="17">
        <f>Depr_Amort!J45</f>
        <v>1393.0555555555554</v>
      </c>
      <c r="I36" s="17">
        <f>Depr_Amort!K45</f>
        <v>2270.8333333333335</v>
      </c>
      <c r="J36" s="17">
        <f>Depr_Amort!L45</f>
        <v>450</v>
      </c>
      <c r="K36" s="17">
        <f>Depr_Amort!M45</f>
        <v>450</v>
      </c>
      <c r="L36" s="17">
        <f>Depr_Amort!N45</f>
        <v>450</v>
      </c>
      <c r="M36" s="17">
        <f>Depr_Amort!O45</f>
        <v>450</v>
      </c>
    </row>
    <row r="37" spans="1:16" ht="12.75">
      <c r="A37" s="21" t="s">
        <v>289</v>
      </c>
      <c r="C37" s="7"/>
      <c r="D37" s="17">
        <f>-Income_Tax!D11</f>
        <v>-1250</v>
      </c>
      <c r="E37" s="17">
        <f>-Income_Tax!E11</f>
        <v>-1350</v>
      </c>
      <c r="F37" s="17">
        <f>-Income_Tax!F11</f>
        <v>-1450</v>
      </c>
      <c r="G37" s="17">
        <f>-Income_Tax!G11</f>
        <v>-1550</v>
      </c>
      <c r="H37" s="17">
        <f>-Income_Tax!H11</f>
        <v>-1650</v>
      </c>
      <c r="I37" s="17">
        <f>-Income_Tax!I11</f>
        <v>-1750</v>
      </c>
      <c r="J37" s="17">
        <f>-Income_Tax!J11</f>
        <v>-1850</v>
      </c>
      <c r="K37" s="17">
        <f>-Income_Tax!K11</f>
        <v>-1950</v>
      </c>
      <c r="L37" s="17">
        <f>-Income_Tax!L11</f>
        <v>-2050</v>
      </c>
      <c r="M37" s="17">
        <f>-Income_Tax!M11</f>
        <v>-2150</v>
      </c>
      <c r="O37" s="6"/>
      <c r="P37" s="7"/>
    </row>
    <row r="38" spans="3:16" ht="12.75">
      <c r="C38" s="7"/>
      <c r="D38" s="4"/>
      <c r="E38" s="4"/>
      <c r="F38" s="4"/>
      <c r="G38" s="4"/>
      <c r="H38" s="4"/>
      <c r="I38" s="4"/>
      <c r="J38" s="4"/>
      <c r="K38" s="4"/>
      <c r="L38" s="4"/>
      <c r="M38" s="4"/>
      <c r="P38" s="7"/>
    </row>
    <row r="39" spans="1:16" ht="12.75">
      <c r="A39" t="s">
        <v>20</v>
      </c>
      <c r="C39" s="7"/>
      <c r="D39" s="4">
        <f>D22-D24-D34</f>
        <v>214211.89190646837</v>
      </c>
      <c r="E39" s="4">
        <f>E22-E24-E34</f>
        <v>233238.30768737994</v>
      </c>
      <c r="F39" s="4">
        <f aca="true" t="shared" si="12" ref="F39:M39">F22-F24-F34</f>
        <v>259559.13326164978</v>
      </c>
      <c r="G39" s="4">
        <f t="shared" si="12"/>
        <v>288654.6032078056</v>
      </c>
      <c r="H39" s="4">
        <f t="shared" si="12"/>
        <v>315807.3718438395</v>
      </c>
      <c r="I39" s="4">
        <f t="shared" si="12"/>
        <v>350447.0899633215</v>
      </c>
      <c r="J39" s="4">
        <f t="shared" si="12"/>
        <v>429310.45785087807</v>
      </c>
      <c r="K39" s="4">
        <f t="shared" si="12"/>
        <v>468774.3332053868</v>
      </c>
      <c r="L39" s="4">
        <f t="shared" si="12"/>
        <v>513098.64565275435</v>
      </c>
      <c r="M39" s="4">
        <f t="shared" si="12"/>
        <v>550799.8031999365</v>
      </c>
      <c r="P39" s="7"/>
    </row>
    <row r="40" spans="3:16" ht="12.75">
      <c r="C40" s="7"/>
      <c r="D40" s="4"/>
      <c r="E40" s="4"/>
      <c r="F40" s="4"/>
      <c r="G40" s="4"/>
      <c r="H40" s="4"/>
      <c r="I40" s="4"/>
      <c r="J40" s="4"/>
      <c r="K40" s="4"/>
      <c r="L40" s="4"/>
      <c r="M40" s="4"/>
      <c r="P40" s="177"/>
    </row>
    <row r="41" spans="1:16" ht="12.75">
      <c r="A41" s="6" t="s">
        <v>283</v>
      </c>
      <c r="C41" s="7"/>
      <c r="D41" s="4">
        <f>Income_Tax!D28</f>
        <v>74974.16216726393</v>
      </c>
      <c r="E41" s="4">
        <f>Income_Tax!E28</f>
        <v>81633.40769058297</v>
      </c>
      <c r="F41" s="4">
        <f>Income_Tax!F28</f>
        <v>90845.69664157742</v>
      </c>
      <c r="G41" s="4">
        <f>Income_Tax!G28</f>
        <v>101029.11112273198</v>
      </c>
      <c r="H41" s="4">
        <f>Income_Tax!H28</f>
        <v>110532.5801453438</v>
      </c>
      <c r="I41" s="4">
        <f>Income_Tax!I28</f>
        <v>122656.48148716253</v>
      </c>
      <c r="J41" s="4">
        <f>Income_Tax!J28</f>
        <v>150258.6602478073</v>
      </c>
      <c r="K41" s="4">
        <f>Income_Tax!K28</f>
        <v>164071.01662188538</v>
      </c>
      <c r="L41" s="4">
        <f>Income_Tax!L28</f>
        <v>179584.52597846402</v>
      </c>
      <c r="M41" s="4">
        <f>Income_Tax!M28</f>
        <v>192779.93111997776</v>
      </c>
      <c r="P41" s="176"/>
    </row>
    <row r="42" spans="3:13" ht="12.75">
      <c r="C42" s="7"/>
      <c r="D42" s="4"/>
      <c r="E42" s="4"/>
      <c r="F42" s="4"/>
      <c r="G42" s="4"/>
      <c r="H42" s="4"/>
      <c r="I42" s="4"/>
      <c r="J42" s="4"/>
      <c r="K42" s="4"/>
      <c r="L42" s="4"/>
      <c r="M42" s="4"/>
    </row>
    <row r="43" spans="1:13" ht="12.75">
      <c r="A43" s="9" t="s">
        <v>2</v>
      </c>
      <c r="C43" s="7"/>
      <c r="D43" s="53">
        <f>D39-D41</f>
        <v>139237.72973920446</v>
      </c>
      <c r="E43" s="53">
        <f aca="true" t="shared" si="13" ref="E43:M43">E39-E41</f>
        <v>151604.89999679697</v>
      </c>
      <c r="F43" s="53">
        <f t="shared" si="13"/>
        <v>168713.43662007235</v>
      </c>
      <c r="G43" s="53">
        <f t="shared" si="13"/>
        <v>187625.4920850736</v>
      </c>
      <c r="H43" s="53">
        <f t="shared" si="13"/>
        <v>205274.79169849568</v>
      </c>
      <c r="I43" s="53">
        <f t="shared" si="13"/>
        <v>227790.608476159</v>
      </c>
      <c r="J43" s="53">
        <f t="shared" si="13"/>
        <v>279051.79760307074</v>
      </c>
      <c r="K43" s="53">
        <f t="shared" si="13"/>
        <v>304703.3165835014</v>
      </c>
      <c r="L43" s="53">
        <f t="shared" si="13"/>
        <v>333514.1196742903</v>
      </c>
      <c r="M43" s="53">
        <f t="shared" si="13"/>
        <v>358019.8720799588</v>
      </c>
    </row>
    <row r="44" spans="1:13" ht="12.75">
      <c r="A44" s="9"/>
      <c r="C44" s="7"/>
      <c r="D44" s="53"/>
      <c r="E44" s="53"/>
      <c r="F44" s="53"/>
      <c r="G44" s="53"/>
      <c r="H44" s="53"/>
      <c r="I44" s="53"/>
      <c r="J44" s="53"/>
      <c r="K44" s="53"/>
      <c r="L44" s="53"/>
      <c r="M44" s="53"/>
    </row>
    <row r="45" spans="1:13" ht="12.75">
      <c r="A45" s="6" t="s">
        <v>330</v>
      </c>
      <c r="C45" s="7"/>
      <c r="D45" s="4">
        <f>SUM(D46:D47)</f>
        <v>6700</v>
      </c>
      <c r="E45" s="4">
        <f aca="true" t="shared" si="14" ref="E45:M45">SUM(E46:E47)</f>
        <v>7194</v>
      </c>
      <c r="F45" s="4">
        <f t="shared" si="14"/>
        <v>7658.580000000001</v>
      </c>
      <c r="G45" s="4">
        <f t="shared" si="14"/>
        <v>8245.1806</v>
      </c>
      <c r="H45" s="4">
        <f t="shared" si="14"/>
        <v>8955.343242</v>
      </c>
      <c r="I45" s="4">
        <f t="shared" si="14"/>
        <v>9390.717268940001</v>
      </c>
      <c r="J45" s="4">
        <f t="shared" si="14"/>
        <v>9590.717268940001</v>
      </c>
      <c r="K45" s="4">
        <f t="shared" si="14"/>
        <v>9890.717268940001</v>
      </c>
      <c r="L45" s="4">
        <f t="shared" si="14"/>
        <v>9990.717268940001</v>
      </c>
      <c r="M45" s="4">
        <f t="shared" si="14"/>
        <v>10290.717268940001</v>
      </c>
    </row>
    <row r="46" spans="1:13" ht="12.75">
      <c r="A46" s="21" t="str">
        <f>Input!G64</f>
        <v>Preferred Stock Dividend</v>
      </c>
      <c r="C46" s="7"/>
      <c r="D46" s="17">
        <f>Bal_Sheet!E61*pref_stock_div</f>
        <v>4200</v>
      </c>
      <c r="E46" s="17">
        <f>Bal_Sheet!F61*pref_stock_div</f>
        <v>4494</v>
      </c>
      <c r="F46" s="17">
        <f>Bal_Sheet!G61*pref_stock_div</f>
        <v>4808.580000000001</v>
      </c>
      <c r="G46" s="17">
        <f>Bal_Sheet!H61*pref_stock_div</f>
        <v>5145.180600000001</v>
      </c>
      <c r="H46" s="17">
        <f>Bal_Sheet!I61*pref_stock_div</f>
        <v>5505.343242000001</v>
      </c>
      <c r="I46" s="17">
        <f>Bal_Sheet!J61*pref_stock_div</f>
        <v>5890.717268940001</v>
      </c>
      <c r="J46" s="17">
        <f>Bal_Sheet!K61*pref_stock_div</f>
        <v>5890.717268940001</v>
      </c>
      <c r="K46" s="17">
        <f>Bal_Sheet!L61*pref_stock_div</f>
        <v>5890.717268940001</v>
      </c>
      <c r="L46" s="17">
        <f>Bal_Sheet!M61*pref_stock_div</f>
        <v>5890.717268940001</v>
      </c>
      <c r="M46" s="17">
        <f>Bal_Sheet!N61*pref_stock_div</f>
        <v>5890.717268940001</v>
      </c>
    </row>
    <row r="47" spans="1:13" ht="12.75">
      <c r="A47" s="21" t="s">
        <v>331</v>
      </c>
      <c r="C47" s="7"/>
      <c r="D47" s="138">
        <v>2500</v>
      </c>
      <c r="E47" s="138">
        <v>2700</v>
      </c>
      <c r="F47" s="138">
        <v>2850</v>
      </c>
      <c r="G47" s="138">
        <v>3100</v>
      </c>
      <c r="H47" s="138">
        <v>3450</v>
      </c>
      <c r="I47" s="138">
        <v>3500</v>
      </c>
      <c r="J47" s="138">
        <v>3700</v>
      </c>
      <c r="K47" s="138">
        <v>4000</v>
      </c>
      <c r="L47" s="138">
        <v>4100</v>
      </c>
      <c r="M47" s="138">
        <v>4400</v>
      </c>
    </row>
    <row r="48" spans="3:13" ht="12.75">
      <c r="C48" s="7"/>
      <c r="D48" s="4"/>
      <c r="E48" s="4"/>
      <c r="F48" s="4"/>
      <c r="G48" s="4"/>
      <c r="H48" s="4"/>
      <c r="I48" s="4"/>
      <c r="J48" s="4"/>
      <c r="K48" s="4"/>
      <c r="L48" s="4"/>
      <c r="M48" s="4"/>
    </row>
    <row r="49" spans="1:13" ht="12.75">
      <c r="A49" s="9" t="s">
        <v>106</v>
      </c>
      <c r="C49" s="7"/>
      <c r="D49" s="53">
        <f>D43-D45</f>
        <v>132537.72973920446</v>
      </c>
      <c r="E49" s="53">
        <f aca="true" t="shared" si="15" ref="E49:M49">E43-E45</f>
        <v>144410.89999679697</v>
      </c>
      <c r="F49" s="53">
        <f t="shared" si="15"/>
        <v>161054.85662007236</v>
      </c>
      <c r="G49" s="53">
        <f t="shared" si="15"/>
        <v>179380.31148507362</v>
      </c>
      <c r="H49" s="53">
        <f t="shared" si="15"/>
        <v>196319.44845649568</v>
      </c>
      <c r="I49" s="53">
        <f t="shared" si="15"/>
        <v>218399.89120721899</v>
      </c>
      <c r="J49" s="53">
        <f t="shared" si="15"/>
        <v>269461.08033413073</v>
      </c>
      <c r="K49" s="53">
        <f t="shared" si="15"/>
        <v>294812.5993145614</v>
      </c>
      <c r="L49" s="53">
        <f t="shared" si="15"/>
        <v>323523.4024053503</v>
      </c>
      <c r="M49" s="53">
        <f t="shared" si="15"/>
        <v>347729.1548110188</v>
      </c>
    </row>
    <row r="50" spans="3:13" ht="12.75">
      <c r="C50" s="7"/>
      <c r="D50" s="4"/>
      <c r="E50" s="4"/>
      <c r="F50" s="4"/>
      <c r="G50" s="4"/>
      <c r="H50" s="4"/>
      <c r="I50" s="4"/>
      <c r="J50" s="4"/>
      <c r="K50" s="4"/>
      <c r="L50" s="4"/>
      <c r="M50" s="4"/>
    </row>
    <row r="51" spans="3:13" ht="12.75">
      <c r="C51" s="7"/>
      <c r="D51" s="4"/>
      <c r="E51" s="4"/>
      <c r="F51" s="4"/>
      <c r="G51" s="4"/>
      <c r="H51" s="4"/>
      <c r="I51" s="4"/>
      <c r="J51" s="4"/>
      <c r="K51" s="4"/>
      <c r="L51" s="4"/>
      <c r="M51" s="4"/>
    </row>
    <row r="52" spans="3:13" ht="12.75">
      <c r="C52" s="7"/>
      <c r="D52" s="4"/>
      <c r="E52" s="4"/>
      <c r="F52" s="4"/>
      <c r="G52" s="4"/>
      <c r="H52" s="4"/>
      <c r="I52" s="4"/>
      <c r="J52" s="4"/>
      <c r="K52" s="4"/>
      <c r="L52" s="4"/>
      <c r="M52" s="4"/>
    </row>
    <row r="53" spans="3:13" ht="12.75">
      <c r="C53" s="7"/>
      <c r="D53" s="4"/>
      <c r="E53" s="4"/>
      <c r="F53" s="4"/>
      <c r="G53" s="4"/>
      <c r="H53" s="4"/>
      <c r="I53" s="4"/>
      <c r="J53" s="4"/>
      <c r="K53" s="4"/>
      <c r="L53" s="4"/>
      <c r="M53" s="4"/>
    </row>
    <row r="54" spans="3:13" ht="12.75">
      <c r="C54" s="7"/>
      <c r="D54" s="4"/>
      <c r="E54" s="4"/>
      <c r="F54" s="4"/>
      <c r="G54" s="4"/>
      <c r="H54" s="4"/>
      <c r="I54" s="4"/>
      <c r="J54" s="4"/>
      <c r="K54" s="4"/>
      <c r="L54" s="4"/>
      <c r="M54" s="4"/>
    </row>
    <row r="55" spans="3:13" ht="12.75">
      <c r="C55" s="7"/>
      <c r="D55" s="4"/>
      <c r="E55" s="4"/>
      <c r="F55" s="4"/>
      <c r="G55" s="4"/>
      <c r="H55" s="4"/>
      <c r="I55" s="4"/>
      <c r="J55" s="4"/>
      <c r="K55" s="4"/>
      <c r="L55" s="4"/>
      <c r="M55" s="4"/>
    </row>
    <row r="56" spans="3:13" ht="12.75">
      <c r="C56" s="7"/>
      <c r="D56" s="4"/>
      <c r="E56" s="4"/>
      <c r="F56" s="4"/>
      <c r="G56" s="4"/>
      <c r="H56" s="4"/>
      <c r="I56" s="4"/>
      <c r="J56" s="4"/>
      <c r="K56" s="4"/>
      <c r="L56" s="4"/>
      <c r="M56" s="4"/>
    </row>
    <row r="57" spans="3:13" ht="12.75">
      <c r="C57" s="7"/>
      <c r="D57" s="4"/>
      <c r="E57" s="4"/>
      <c r="F57" s="4"/>
      <c r="G57" s="4"/>
      <c r="H57" s="4"/>
      <c r="I57" s="4"/>
      <c r="J57" s="4"/>
      <c r="K57" s="4"/>
      <c r="L57" s="4"/>
      <c r="M57" s="4"/>
    </row>
    <row r="58" spans="3:13" ht="12.75">
      <c r="C58" s="7"/>
      <c r="D58" s="4"/>
      <c r="E58" s="4"/>
      <c r="F58" s="4"/>
      <c r="G58" s="4"/>
      <c r="H58" s="4"/>
      <c r="I58" s="4"/>
      <c r="J58" s="4"/>
      <c r="K58" s="4"/>
      <c r="L58" s="4"/>
      <c r="M58" s="4"/>
    </row>
    <row r="59" spans="3:13" ht="12.75">
      <c r="C59" s="7"/>
      <c r="D59" s="4"/>
      <c r="E59" s="4"/>
      <c r="F59" s="4"/>
      <c r="G59" s="4"/>
      <c r="H59" s="4"/>
      <c r="I59" s="4"/>
      <c r="J59" s="4"/>
      <c r="K59" s="4"/>
      <c r="L59" s="4"/>
      <c r="M59" s="4"/>
    </row>
    <row r="60" spans="3:13" ht="12.75">
      <c r="C60" s="7"/>
      <c r="D60" s="4"/>
      <c r="E60" s="4"/>
      <c r="F60" s="4"/>
      <c r="G60" s="4"/>
      <c r="H60" s="4"/>
      <c r="I60" s="4"/>
      <c r="J60" s="4"/>
      <c r="K60" s="4"/>
      <c r="L60" s="4"/>
      <c r="M60" s="4"/>
    </row>
    <row r="61" spans="3:13" ht="12.75">
      <c r="C61" s="7"/>
      <c r="D61" s="4"/>
      <c r="E61" s="4"/>
      <c r="F61" s="4"/>
      <c r="G61" s="4"/>
      <c r="H61" s="4"/>
      <c r="I61" s="4"/>
      <c r="J61" s="4"/>
      <c r="K61" s="4"/>
      <c r="L61" s="4"/>
      <c r="M61" s="4"/>
    </row>
    <row r="62" spans="3:13" ht="12.75">
      <c r="C62" s="7"/>
      <c r="D62" s="4"/>
      <c r="E62" s="4"/>
      <c r="F62" s="4"/>
      <c r="G62" s="4"/>
      <c r="H62" s="4"/>
      <c r="I62" s="4"/>
      <c r="J62" s="4"/>
      <c r="K62" s="4"/>
      <c r="L62" s="4"/>
      <c r="M62" s="4"/>
    </row>
    <row r="63" spans="3:13" ht="12.75">
      <c r="C63" s="7"/>
      <c r="D63" s="4"/>
      <c r="E63" s="4"/>
      <c r="F63" s="4"/>
      <c r="G63" s="4"/>
      <c r="H63" s="4"/>
      <c r="I63" s="4"/>
      <c r="J63" s="4"/>
      <c r="K63" s="4"/>
      <c r="L63" s="4"/>
      <c r="M63" s="4"/>
    </row>
    <row r="64" spans="3:13" ht="12.75">
      <c r="C64" s="7"/>
      <c r="D64" s="4"/>
      <c r="E64" s="4"/>
      <c r="F64" s="4"/>
      <c r="G64" s="4"/>
      <c r="H64" s="4"/>
      <c r="I64" s="4"/>
      <c r="J64" s="4"/>
      <c r="K64" s="4"/>
      <c r="L64" s="4"/>
      <c r="M64" s="4"/>
    </row>
    <row r="65" spans="3:13" ht="12.75">
      <c r="C65" s="7"/>
      <c r="D65" s="4"/>
      <c r="E65" s="4"/>
      <c r="F65" s="4"/>
      <c r="G65" s="4"/>
      <c r="H65" s="4"/>
      <c r="I65" s="4"/>
      <c r="J65" s="4"/>
      <c r="K65" s="4"/>
      <c r="L65" s="4"/>
      <c r="M65" s="4"/>
    </row>
    <row r="66" spans="3:13" ht="12.75">
      <c r="C66" s="7"/>
      <c r="D66" s="4"/>
      <c r="E66" s="4"/>
      <c r="F66" s="4"/>
      <c r="G66" s="4"/>
      <c r="H66" s="4"/>
      <c r="I66" s="4"/>
      <c r="J66" s="4"/>
      <c r="K66" s="4"/>
      <c r="L66" s="4"/>
      <c r="M66" s="4"/>
    </row>
    <row r="67" spans="3:13" ht="12.75">
      <c r="C67" s="7"/>
      <c r="D67" s="4"/>
      <c r="E67" s="4"/>
      <c r="F67" s="4"/>
      <c r="G67" s="4"/>
      <c r="H67" s="4"/>
      <c r="I67" s="4"/>
      <c r="J67" s="4"/>
      <c r="K67" s="4"/>
      <c r="L67" s="4"/>
      <c r="M67" s="4"/>
    </row>
    <row r="68" spans="3:13" ht="12.75">
      <c r="C68" s="7"/>
      <c r="D68" s="4"/>
      <c r="E68" s="4"/>
      <c r="F68" s="4"/>
      <c r="G68" s="4"/>
      <c r="H68" s="4"/>
      <c r="I68" s="4"/>
      <c r="J68" s="4"/>
      <c r="K68" s="4"/>
      <c r="L68" s="4"/>
      <c r="M68" s="4"/>
    </row>
    <row r="69" spans="3:13" ht="12.75">
      <c r="C69" s="7"/>
      <c r="D69" s="4"/>
      <c r="E69" s="4"/>
      <c r="F69" s="4"/>
      <c r="G69" s="4"/>
      <c r="H69" s="4"/>
      <c r="I69" s="4"/>
      <c r="J69" s="4"/>
      <c r="K69" s="4"/>
      <c r="L69" s="4"/>
      <c r="M69" s="4"/>
    </row>
    <row r="70" spans="3:13" ht="12.75">
      <c r="C70" s="7"/>
      <c r="D70" s="4"/>
      <c r="E70" s="4"/>
      <c r="F70" s="4"/>
      <c r="G70" s="4"/>
      <c r="H70" s="4"/>
      <c r="I70" s="4"/>
      <c r="J70" s="4"/>
      <c r="K70" s="4"/>
      <c r="L70" s="4"/>
      <c r="M70" s="4"/>
    </row>
    <row r="71" spans="3:13" ht="12.75">
      <c r="C71" s="7"/>
      <c r="D71" s="4"/>
      <c r="E71" s="4"/>
      <c r="F71" s="4"/>
      <c r="G71" s="4"/>
      <c r="H71" s="4"/>
      <c r="I71" s="4"/>
      <c r="J71" s="4"/>
      <c r="K71" s="4"/>
      <c r="L71" s="4"/>
      <c r="M71" s="4"/>
    </row>
    <row r="72" spans="3:13" ht="12.75">
      <c r="C72" s="7"/>
      <c r="D72" s="4"/>
      <c r="E72" s="4"/>
      <c r="F72" s="4"/>
      <c r="G72" s="4"/>
      <c r="H72" s="4"/>
      <c r="I72" s="4"/>
      <c r="J72" s="4"/>
      <c r="K72" s="4"/>
      <c r="L72" s="4"/>
      <c r="M72" s="4"/>
    </row>
    <row r="73" spans="3:13" ht="12.75">
      <c r="C73" s="7"/>
      <c r="D73" s="4"/>
      <c r="E73" s="4"/>
      <c r="F73" s="4"/>
      <c r="G73" s="4"/>
      <c r="H73" s="4"/>
      <c r="I73" s="4"/>
      <c r="J73" s="4"/>
      <c r="K73" s="4"/>
      <c r="L73" s="4"/>
      <c r="M73" s="4"/>
    </row>
    <row r="74" spans="3:13" ht="12.75">
      <c r="C74" s="7"/>
      <c r="D74" s="4"/>
      <c r="E74" s="4"/>
      <c r="F74" s="4"/>
      <c r="G74" s="4"/>
      <c r="H74" s="4"/>
      <c r="I74" s="4"/>
      <c r="J74" s="4"/>
      <c r="K74" s="4"/>
      <c r="L74" s="4"/>
      <c r="M74" s="4"/>
    </row>
    <row r="75" spans="3:13" ht="12.75">
      <c r="C75" s="7"/>
      <c r="D75" s="4"/>
      <c r="E75" s="4"/>
      <c r="F75" s="4"/>
      <c r="G75" s="4"/>
      <c r="H75" s="4"/>
      <c r="I75" s="4"/>
      <c r="J75" s="4"/>
      <c r="K75" s="4"/>
      <c r="L75" s="4"/>
      <c r="M75" s="4"/>
    </row>
    <row r="76" spans="3:13" ht="12.75">
      <c r="C76" s="7"/>
      <c r="D76" s="4"/>
      <c r="E76" s="4"/>
      <c r="F76" s="4"/>
      <c r="G76" s="4"/>
      <c r="H76" s="4"/>
      <c r="I76" s="4"/>
      <c r="J76" s="4"/>
      <c r="K76" s="4"/>
      <c r="L76" s="4"/>
      <c r="M76" s="4"/>
    </row>
    <row r="77" spans="3:13" ht="12.75">
      <c r="C77" s="7"/>
      <c r="D77" s="4"/>
      <c r="E77" s="4"/>
      <c r="F77" s="4"/>
      <c r="G77" s="4"/>
      <c r="H77" s="4"/>
      <c r="I77" s="4"/>
      <c r="J77" s="4"/>
      <c r="K77" s="4"/>
      <c r="L77" s="4"/>
      <c r="M77" s="4"/>
    </row>
    <row r="78" spans="3:13" ht="12.75">
      <c r="C78" s="7"/>
      <c r="D78" s="4"/>
      <c r="E78" s="4"/>
      <c r="F78" s="4"/>
      <c r="G78" s="4"/>
      <c r="H78" s="4"/>
      <c r="I78" s="4"/>
      <c r="J78" s="4"/>
      <c r="K78" s="4"/>
      <c r="L78" s="4"/>
      <c r="M78" s="4"/>
    </row>
    <row r="79" spans="3:13" ht="12.75">
      <c r="C79" s="7"/>
      <c r="D79" s="4"/>
      <c r="E79" s="4"/>
      <c r="F79" s="4"/>
      <c r="G79" s="4"/>
      <c r="H79" s="4"/>
      <c r="I79" s="4"/>
      <c r="J79" s="4"/>
      <c r="K79" s="4"/>
      <c r="L79" s="4"/>
      <c r="M79" s="4"/>
    </row>
    <row r="80" spans="3:13" ht="12.75">
      <c r="C80" s="7"/>
      <c r="D80" s="4"/>
      <c r="E80" s="4"/>
      <c r="F80" s="4"/>
      <c r="G80" s="4"/>
      <c r="H80" s="4"/>
      <c r="I80" s="4"/>
      <c r="J80" s="4"/>
      <c r="K80" s="4"/>
      <c r="L80" s="4"/>
      <c r="M80" s="4"/>
    </row>
    <row r="81" spans="3:13" ht="12.75">
      <c r="C81" s="7"/>
      <c r="D81" s="4"/>
      <c r="E81" s="4"/>
      <c r="F81" s="4"/>
      <c r="G81" s="4"/>
      <c r="H81" s="4"/>
      <c r="I81" s="4"/>
      <c r="J81" s="4"/>
      <c r="K81" s="4"/>
      <c r="L81" s="4"/>
      <c r="M81" s="4"/>
    </row>
    <row r="82" spans="3:13" ht="12.75">
      <c r="C82" s="7"/>
      <c r="D82" s="4"/>
      <c r="E82" s="4"/>
      <c r="F82" s="4"/>
      <c r="G82" s="4"/>
      <c r="H82" s="4"/>
      <c r="I82" s="4"/>
      <c r="J82" s="4"/>
      <c r="K82" s="4"/>
      <c r="L82" s="4"/>
      <c r="M82" s="4"/>
    </row>
    <row r="83" spans="3:13" ht="12.75">
      <c r="C83" s="7"/>
      <c r="D83" s="4"/>
      <c r="E83" s="4"/>
      <c r="F83" s="4"/>
      <c r="G83" s="4"/>
      <c r="H83" s="4"/>
      <c r="I83" s="4"/>
      <c r="J83" s="4"/>
      <c r="K83" s="4"/>
      <c r="L83" s="4"/>
      <c r="M83" s="4"/>
    </row>
    <row r="84" spans="3:13" ht="12.75">
      <c r="C84" s="7"/>
      <c r="D84" s="4"/>
      <c r="E84" s="4"/>
      <c r="F84" s="4"/>
      <c r="G84" s="4"/>
      <c r="H84" s="4"/>
      <c r="I84" s="4"/>
      <c r="J84" s="4"/>
      <c r="K84" s="4"/>
      <c r="L84" s="4"/>
      <c r="M84" s="4"/>
    </row>
    <row r="85" spans="3:13" ht="12.75">
      <c r="C85" s="7"/>
      <c r="D85" s="4"/>
      <c r="E85" s="4"/>
      <c r="F85" s="4"/>
      <c r="G85" s="4"/>
      <c r="H85" s="4"/>
      <c r="I85" s="4"/>
      <c r="J85" s="4"/>
      <c r="K85" s="4"/>
      <c r="L85" s="4"/>
      <c r="M85" s="4"/>
    </row>
    <row r="86" spans="3:13" ht="12.75">
      <c r="C86" s="7"/>
      <c r="D86" s="4"/>
      <c r="E86" s="4"/>
      <c r="F86" s="4"/>
      <c r="G86" s="4"/>
      <c r="H86" s="4"/>
      <c r="I86" s="4"/>
      <c r="J86" s="4"/>
      <c r="K86" s="4"/>
      <c r="L86" s="4"/>
      <c r="M86" s="4"/>
    </row>
    <row r="87" spans="3:13" ht="12.75">
      <c r="C87" s="7"/>
      <c r="D87" s="4"/>
      <c r="E87" s="4"/>
      <c r="F87" s="4"/>
      <c r="G87" s="4"/>
      <c r="H87" s="4"/>
      <c r="I87" s="4"/>
      <c r="J87" s="4"/>
      <c r="K87" s="4"/>
      <c r="L87" s="4"/>
      <c r="M87" s="4"/>
    </row>
    <row r="88" spans="3:13" ht="12.75">
      <c r="C88" s="7"/>
      <c r="D88" s="4"/>
      <c r="E88" s="4"/>
      <c r="F88" s="4"/>
      <c r="G88" s="4"/>
      <c r="H88" s="4"/>
      <c r="I88" s="4"/>
      <c r="J88" s="4"/>
      <c r="K88" s="4"/>
      <c r="L88" s="4"/>
      <c r="M88" s="4"/>
    </row>
    <row r="89" spans="3:13" ht="12.75">
      <c r="C89" s="7"/>
      <c r="D89" s="4"/>
      <c r="E89" s="4"/>
      <c r="F89" s="4"/>
      <c r="G89" s="4"/>
      <c r="H89" s="4"/>
      <c r="I89" s="4"/>
      <c r="J89" s="4"/>
      <c r="K89" s="4"/>
      <c r="L89" s="4"/>
      <c r="M89" s="4"/>
    </row>
    <row r="90" spans="3:13" ht="12.75">
      <c r="C90" s="7"/>
      <c r="D90" s="4"/>
      <c r="E90" s="4"/>
      <c r="F90" s="4"/>
      <c r="G90" s="4"/>
      <c r="H90" s="4"/>
      <c r="I90" s="4"/>
      <c r="J90" s="4"/>
      <c r="K90" s="4"/>
      <c r="L90" s="4"/>
      <c r="M90" s="4"/>
    </row>
    <row r="91" spans="3:13" ht="12.75">
      <c r="C91" s="7"/>
      <c r="D91" s="4"/>
      <c r="E91" s="4"/>
      <c r="F91" s="4"/>
      <c r="G91" s="4"/>
      <c r="H91" s="4"/>
      <c r="I91" s="4"/>
      <c r="J91" s="4"/>
      <c r="K91" s="4"/>
      <c r="L91" s="4"/>
      <c r="M91" s="4"/>
    </row>
    <row r="92" spans="3:13" ht="12.75">
      <c r="C92" s="7"/>
      <c r="D92" s="4"/>
      <c r="E92" s="4"/>
      <c r="F92" s="4"/>
      <c r="G92" s="4"/>
      <c r="H92" s="4"/>
      <c r="I92" s="4"/>
      <c r="J92" s="4"/>
      <c r="K92" s="4"/>
      <c r="L92" s="4"/>
      <c r="M92" s="4"/>
    </row>
    <row r="93" spans="3:13" ht="12.75">
      <c r="C93" s="7"/>
      <c r="D93" s="4"/>
      <c r="E93" s="4"/>
      <c r="F93" s="4"/>
      <c r="G93" s="4"/>
      <c r="H93" s="4"/>
      <c r="I93" s="4"/>
      <c r="J93" s="4"/>
      <c r="K93" s="4"/>
      <c r="L93" s="4"/>
      <c r="M93" s="4"/>
    </row>
    <row r="94" spans="3:13" ht="12.75">
      <c r="C94" s="7"/>
      <c r="D94" s="4"/>
      <c r="E94" s="4"/>
      <c r="F94" s="4"/>
      <c r="G94" s="4"/>
      <c r="H94" s="4"/>
      <c r="I94" s="4"/>
      <c r="J94" s="4"/>
      <c r="K94" s="4"/>
      <c r="L94" s="4"/>
      <c r="M94" s="4"/>
    </row>
    <row r="95" spans="3:13" ht="12.75">
      <c r="C95" s="7"/>
      <c r="D95" s="4"/>
      <c r="E95" s="4"/>
      <c r="F95" s="4"/>
      <c r="G95" s="4"/>
      <c r="H95" s="4"/>
      <c r="I95" s="4"/>
      <c r="J95" s="4"/>
      <c r="K95" s="4"/>
      <c r="L95" s="4"/>
      <c r="M95" s="4"/>
    </row>
    <row r="96" spans="3:13" ht="12.75">
      <c r="C96" s="7"/>
      <c r="D96" s="4"/>
      <c r="E96" s="4"/>
      <c r="F96" s="4"/>
      <c r="G96" s="4"/>
      <c r="H96" s="4"/>
      <c r="I96" s="4"/>
      <c r="J96" s="4"/>
      <c r="K96" s="4"/>
      <c r="L96" s="4"/>
      <c r="M96" s="4"/>
    </row>
    <row r="97" spans="3:13" ht="12.75">
      <c r="C97" s="7"/>
      <c r="D97" s="4"/>
      <c r="E97" s="4"/>
      <c r="F97" s="4"/>
      <c r="G97" s="4"/>
      <c r="H97" s="4"/>
      <c r="I97" s="4"/>
      <c r="J97" s="4"/>
      <c r="K97" s="4"/>
      <c r="L97" s="4"/>
      <c r="M97" s="4"/>
    </row>
    <row r="98" spans="3:13" ht="12.75">
      <c r="C98" s="7"/>
      <c r="D98" s="4"/>
      <c r="E98" s="4"/>
      <c r="F98" s="4"/>
      <c r="G98" s="4"/>
      <c r="H98" s="4"/>
      <c r="I98" s="4"/>
      <c r="J98" s="4"/>
      <c r="K98" s="4"/>
      <c r="L98" s="4"/>
      <c r="M98" s="4"/>
    </row>
    <row r="99" spans="3:13" ht="12.75">
      <c r="C99" s="7"/>
      <c r="D99" s="4"/>
      <c r="E99" s="4"/>
      <c r="F99" s="4"/>
      <c r="G99" s="4"/>
      <c r="H99" s="4"/>
      <c r="I99" s="4"/>
      <c r="J99" s="4"/>
      <c r="K99" s="4"/>
      <c r="L99" s="4"/>
      <c r="M99" s="4"/>
    </row>
    <row r="100" spans="3:13" ht="12.75">
      <c r="C100" s="7"/>
      <c r="D100" s="4"/>
      <c r="E100" s="4"/>
      <c r="F100" s="4"/>
      <c r="G100" s="4"/>
      <c r="H100" s="4"/>
      <c r="I100" s="4"/>
      <c r="J100" s="4"/>
      <c r="K100" s="4"/>
      <c r="L100" s="4"/>
      <c r="M100" s="4"/>
    </row>
    <row r="101" spans="3:13" ht="12.75">
      <c r="C101" s="7"/>
      <c r="D101" s="4"/>
      <c r="E101" s="4"/>
      <c r="F101" s="4"/>
      <c r="G101" s="4"/>
      <c r="H101" s="4"/>
      <c r="I101" s="4"/>
      <c r="J101" s="4"/>
      <c r="K101" s="4"/>
      <c r="L101" s="4"/>
      <c r="M101" s="4"/>
    </row>
    <row r="102" spans="3:13" ht="12.75">
      <c r="C102" s="7"/>
      <c r="D102" s="4"/>
      <c r="E102" s="4"/>
      <c r="F102" s="4"/>
      <c r="G102" s="4"/>
      <c r="H102" s="4"/>
      <c r="I102" s="4"/>
      <c r="J102" s="4"/>
      <c r="K102" s="4"/>
      <c r="L102" s="4"/>
      <c r="M102" s="4"/>
    </row>
    <row r="103" spans="3:13" ht="12.75">
      <c r="C103" s="7"/>
      <c r="D103" s="4"/>
      <c r="E103" s="4"/>
      <c r="F103" s="4"/>
      <c r="G103" s="4"/>
      <c r="H103" s="4"/>
      <c r="I103" s="4"/>
      <c r="J103" s="4"/>
      <c r="K103" s="4"/>
      <c r="L103" s="4"/>
      <c r="M103" s="4"/>
    </row>
    <row r="104" spans="3:13" ht="12.75">
      <c r="C104" s="7"/>
      <c r="D104" s="4"/>
      <c r="E104" s="4"/>
      <c r="F104" s="4"/>
      <c r="G104" s="4"/>
      <c r="H104" s="4"/>
      <c r="I104" s="4"/>
      <c r="J104" s="4"/>
      <c r="K104" s="4"/>
      <c r="L104" s="4"/>
      <c r="M104" s="4"/>
    </row>
    <row r="105" spans="3:13" ht="12.75">
      <c r="C105" s="7"/>
      <c r="D105" s="4"/>
      <c r="E105" s="4"/>
      <c r="F105" s="4"/>
      <c r="G105" s="4"/>
      <c r="H105" s="4"/>
      <c r="I105" s="4"/>
      <c r="J105" s="4"/>
      <c r="K105" s="4"/>
      <c r="L105" s="4"/>
      <c r="M105" s="4"/>
    </row>
    <row r="106" spans="3:13" ht="12.75">
      <c r="C106" s="7"/>
      <c r="D106" s="4"/>
      <c r="E106" s="4"/>
      <c r="F106" s="4"/>
      <c r="G106" s="4"/>
      <c r="H106" s="4"/>
      <c r="I106" s="4"/>
      <c r="J106" s="4"/>
      <c r="K106" s="4"/>
      <c r="L106" s="4"/>
      <c r="M106" s="4"/>
    </row>
    <row r="107" spans="3:13" ht="12.75">
      <c r="C107" s="7"/>
      <c r="D107" s="4"/>
      <c r="E107" s="4"/>
      <c r="F107" s="4"/>
      <c r="G107" s="4"/>
      <c r="H107" s="4"/>
      <c r="I107" s="4"/>
      <c r="J107" s="4"/>
      <c r="K107" s="4"/>
      <c r="L107" s="4"/>
      <c r="M107" s="4"/>
    </row>
    <row r="108" spans="3:13" ht="12.75">
      <c r="C108" s="7"/>
      <c r="D108" s="4"/>
      <c r="E108" s="4"/>
      <c r="F108" s="4"/>
      <c r="G108" s="4"/>
      <c r="H108" s="4"/>
      <c r="I108" s="4"/>
      <c r="J108" s="4"/>
      <c r="K108" s="4"/>
      <c r="L108" s="4"/>
      <c r="M108" s="4"/>
    </row>
    <row r="109" spans="3:13" ht="12.75">
      <c r="C109" s="7"/>
      <c r="D109" s="4"/>
      <c r="E109" s="4"/>
      <c r="F109" s="4"/>
      <c r="G109" s="4"/>
      <c r="H109" s="4"/>
      <c r="I109" s="4"/>
      <c r="J109" s="4"/>
      <c r="K109" s="4"/>
      <c r="L109" s="4"/>
      <c r="M109" s="4"/>
    </row>
    <row r="110" spans="3:13" ht="12.75">
      <c r="C110" s="7"/>
      <c r="D110" s="4"/>
      <c r="E110" s="4"/>
      <c r="F110" s="4"/>
      <c r="G110" s="4"/>
      <c r="H110" s="4"/>
      <c r="I110" s="4"/>
      <c r="J110" s="4"/>
      <c r="K110" s="4"/>
      <c r="L110" s="4"/>
      <c r="M110" s="4"/>
    </row>
    <row r="111" spans="3:13" ht="12.75">
      <c r="C111" s="7"/>
      <c r="D111" s="4"/>
      <c r="E111" s="4"/>
      <c r="F111" s="4"/>
      <c r="G111" s="4"/>
      <c r="H111" s="4"/>
      <c r="I111" s="4"/>
      <c r="J111" s="4"/>
      <c r="K111" s="4"/>
      <c r="L111" s="4"/>
      <c r="M111" s="4"/>
    </row>
    <row r="112" spans="3:13" ht="12.75">
      <c r="C112" s="7"/>
      <c r="D112" s="4"/>
      <c r="E112" s="4"/>
      <c r="F112" s="4"/>
      <c r="G112" s="4"/>
      <c r="H112" s="4"/>
      <c r="I112" s="4"/>
      <c r="J112" s="4"/>
      <c r="K112" s="4"/>
      <c r="L112" s="4"/>
      <c r="M112" s="4"/>
    </row>
    <row r="113" spans="3:13" ht="12.75">
      <c r="C113" s="7"/>
      <c r="D113" s="4"/>
      <c r="E113" s="4"/>
      <c r="F113" s="4"/>
      <c r="G113" s="4"/>
      <c r="H113" s="4"/>
      <c r="I113" s="4"/>
      <c r="J113" s="4"/>
      <c r="K113" s="4"/>
      <c r="L113" s="4"/>
      <c r="M113" s="4"/>
    </row>
    <row r="114" spans="3:13" ht="12.75">
      <c r="C114" s="7"/>
      <c r="D114" s="4"/>
      <c r="E114" s="4"/>
      <c r="F114" s="4"/>
      <c r="G114" s="4"/>
      <c r="H114" s="4"/>
      <c r="I114" s="4"/>
      <c r="J114" s="4"/>
      <c r="K114" s="4"/>
      <c r="L114" s="4"/>
      <c r="M114" s="4"/>
    </row>
    <row r="115" spans="3:13" ht="12.75">
      <c r="C115" s="7"/>
      <c r="D115" s="4"/>
      <c r="E115" s="4"/>
      <c r="F115" s="4"/>
      <c r="G115" s="4"/>
      <c r="H115" s="4"/>
      <c r="I115" s="4"/>
      <c r="J115" s="4"/>
      <c r="K115" s="4"/>
      <c r="L115" s="4"/>
      <c r="M115" s="4"/>
    </row>
    <row r="116" spans="3:13" ht="12.75">
      <c r="C116" s="7"/>
      <c r="D116" s="4"/>
      <c r="E116" s="4"/>
      <c r="F116" s="4"/>
      <c r="G116" s="4"/>
      <c r="H116" s="4"/>
      <c r="I116" s="4"/>
      <c r="J116" s="4"/>
      <c r="K116" s="4"/>
      <c r="L116" s="4"/>
      <c r="M116" s="4"/>
    </row>
    <row r="117" spans="3:13" ht="12.75">
      <c r="C117" s="7"/>
      <c r="D117" s="4"/>
      <c r="E117" s="4"/>
      <c r="F117" s="4"/>
      <c r="G117" s="4"/>
      <c r="H117" s="4"/>
      <c r="I117" s="4"/>
      <c r="J117" s="4"/>
      <c r="K117" s="4"/>
      <c r="L117" s="4"/>
      <c r="M117" s="4"/>
    </row>
    <row r="118" spans="3:13" ht="12.75">
      <c r="C118" s="7"/>
      <c r="D118" s="4"/>
      <c r="E118" s="4"/>
      <c r="F118" s="4"/>
      <c r="G118" s="4"/>
      <c r="H118" s="4"/>
      <c r="I118" s="4"/>
      <c r="J118" s="4"/>
      <c r="K118" s="4"/>
      <c r="L118" s="4"/>
      <c r="M118" s="4"/>
    </row>
    <row r="119" spans="3:13" ht="12.75">
      <c r="C119" s="7"/>
      <c r="D119" s="4"/>
      <c r="E119" s="4"/>
      <c r="F119" s="4"/>
      <c r="G119" s="4"/>
      <c r="H119" s="4"/>
      <c r="I119" s="4"/>
      <c r="J119" s="4"/>
      <c r="K119" s="4"/>
      <c r="L119" s="4"/>
      <c r="M119" s="4"/>
    </row>
    <row r="120" spans="3:13" ht="12.75">
      <c r="C120" s="7"/>
      <c r="D120" s="4"/>
      <c r="E120" s="4"/>
      <c r="F120" s="4"/>
      <c r="G120" s="4"/>
      <c r="H120" s="4"/>
      <c r="I120" s="4"/>
      <c r="J120" s="4"/>
      <c r="K120" s="4"/>
      <c r="L120" s="4"/>
      <c r="M120" s="4"/>
    </row>
    <row r="121" spans="3:13" ht="12.75">
      <c r="C121" s="7"/>
      <c r="D121" s="4"/>
      <c r="E121" s="4"/>
      <c r="F121" s="4"/>
      <c r="G121" s="4"/>
      <c r="H121" s="4"/>
      <c r="I121" s="4"/>
      <c r="J121" s="4"/>
      <c r="K121" s="4"/>
      <c r="L121" s="4"/>
      <c r="M121" s="4"/>
    </row>
    <row r="122" spans="3:13" ht="12.75">
      <c r="C122" s="7"/>
      <c r="D122" s="4"/>
      <c r="E122" s="4"/>
      <c r="F122" s="4"/>
      <c r="G122" s="4"/>
      <c r="H122" s="4"/>
      <c r="I122" s="4"/>
      <c r="J122" s="4"/>
      <c r="K122" s="4"/>
      <c r="L122" s="4"/>
      <c r="M122" s="4"/>
    </row>
    <row r="123" spans="4:13" ht="12.75">
      <c r="D123" s="4"/>
      <c r="E123" s="4"/>
      <c r="F123" s="4"/>
      <c r="G123" s="4"/>
      <c r="H123" s="4"/>
      <c r="I123" s="4"/>
      <c r="J123" s="4"/>
      <c r="K123" s="4"/>
      <c r="L123" s="4"/>
      <c r="M123" s="4"/>
    </row>
    <row r="124" spans="4:13" ht="12.75">
      <c r="D124" s="4"/>
      <c r="E124" s="4"/>
      <c r="F124" s="4"/>
      <c r="G124" s="4"/>
      <c r="H124" s="4"/>
      <c r="I124" s="4"/>
      <c r="J124" s="4"/>
      <c r="K124" s="4"/>
      <c r="L124" s="4"/>
      <c r="M124" s="4"/>
    </row>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2:AX9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G2" sqref="G2"/>
    </sheetView>
  </sheetViews>
  <sheetFormatPr defaultColWidth="9.140625" defaultRowHeight="12.75"/>
  <cols>
    <col min="1" max="1" width="14.140625" style="0" customWidth="1"/>
    <col min="2" max="2" width="13.00390625" style="0" customWidth="1"/>
    <col min="3" max="15" width="10.7109375" style="0" customWidth="1"/>
    <col min="16" max="20" width="10.28125" style="0" customWidth="1"/>
  </cols>
  <sheetData>
    <row r="2" ht="15">
      <c r="A2" s="92" t="s">
        <v>46</v>
      </c>
    </row>
    <row r="4" spans="1:15" ht="12.75">
      <c r="A4" s="2" t="s">
        <v>14</v>
      </c>
      <c r="C4" s="118" t="s">
        <v>178</v>
      </c>
      <c r="D4" s="133" t="s">
        <v>196</v>
      </c>
      <c r="E4" s="24" t="s">
        <v>102</v>
      </c>
      <c r="F4" s="14">
        <f>year1</f>
        <v>2010</v>
      </c>
      <c r="G4" s="14">
        <f>F4+1</f>
        <v>2011</v>
      </c>
      <c r="H4" s="14">
        <f aca="true" t="shared" si="0" ref="H4:O5">G4+1</f>
        <v>2012</v>
      </c>
      <c r="I4" s="14">
        <f t="shared" si="0"/>
        <v>2013</v>
      </c>
      <c r="J4" s="14">
        <f t="shared" si="0"/>
        <v>2014</v>
      </c>
      <c r="K4" s="14">
        <f t="shared" si="0"/>
        <v>2015</v>
      </c>
      <c r="L4" s="14">
        <f t="shared" si="0"/>
        <v>2016</v>
      </c>
      <c r="M4" s="14">
        <f t="shared" si="0"/>
        <v>2017</v>
      </c>
      <c r="N4" s="14">
        <f t="shared" si="0"/>
        <v>2018</v>
      </c>
      <c r="O4" s="14">
        <f t="shared" si="0"/>
        <v>2019</v>
      </c>
    </row>
    <row r="5" spans="1:50" ht="12.75">
      <c r="A5" s="6" t="s">
        <v>70</v>
      </c>
      <c r="E5" s="16">
        <f>F5-1</f>
        <v>0</v>
      </c>
      <c r="F5" s="15">
        <v>1</v>
      </c>
      <c r="G5" s="15">
        <f>F5+1</f>
        <v>2</v>
      </c>
      <c r="H5" s="15">
        <f t="shared" si="0"/>
        <v>3</v>
      </c>
      <c r="I5" s="15">
        <f t="shared" si="0"/>
        <v>4</v>
      </c>
      <c r="J5" s="15">
        <f t="shared" si="0"/>
        <v>5</v>
      </c>
      <c r="K5" s="15">
        <f t="shared" si="0"/>
        <v>6</v>
      </c>
      <c r="L5" s="15">
        <f t="shared" si="0"/>
        <v>7</v>
      </c>
      <c r="M5" s="15">
        <f t="shared" si="0"/>
        <v>8</v>
      </c>
      <c r="N5" s="15">
        <f t="shared" si="0"/>
        <v>9</v>
      </c>
      <c r="O5" s="15">
        <f t="shared" si="0"/>
        <v>10</v>
      </c>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12.75">
      <c r="A6" s="2"/>
      <c r="F6" s="18"/>
      <c r="G6" s="18"/>
      <c r="H6" s="18"/>
      <c r="I6" s="18"/>
      <c r="J6" s="18"/>
      <c r="K6" s="18"/>
      <c r="L6" s="18"/>
      <c r="M6" s="18"/>
      <c r="N6" s="18"/>
      <c r="O6" s="1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12.75">
      <c r="A7" s="9" t="s">
        <v>4</v>
      </c>
      <c r="E7" s="8"/>
      <c r="F7" s="3"/>
      <c r="G7" s="3"/>
      <c r="H7" s="3"/>
      <c r="I7" s="3"/>
      <c r="J7" s="3"/>
      <c r="K7" s="3"/>
      <c r="L7" s="3"/>
      <c r="M7" s="3"/>
      <c r="N7" s="3"/>
      <c r="O7" s="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3:15" ht="12.75">
      <c r="C8" s="7"/>
      <c r="D8" s="7"/>
      <c r="E8" s="4"/>
      <c r="F8" s="4"/>
      <c r="G8" s="4"/>
      <c r="H8" s="4"/>
      <c r="I8" s="4"/>
      <c r="J8" s="4"/>
      <c r="K8" s="4"/>
      <c r="L8" s="4"/>
      <c r="M8" s="4"/>
      <c r="N8" s="4"/>
      <c r="O8" s="4"/>
    </row>
    <row r="9" spans="1:15" ht="12.75">
      <c r="A9" s="2" t="s">
        <v>5</v>
      </c>
      <c r="C9" s="7"/>
      <c r="D9" s="7"/>
      <c r="E9" s="4"/>
      <c r="F9" s="4"/>
      <c r="G9" s="4"/>
      <c r="H9" s="4"/>
      <c r="I9" s="4"/>
      <c r="J9" s="4"/>
      <c r="K9" s="4"/>
      <c r="L9" s="4"/>
      <c r="M9" s="4"/>
      <c r="N9" s="4"/>
      <c r="O9" s="4"/>
    </row>
    <row r="10" spans="1:15" ht="12.75">
      <c r="A10" s="10" t="s">
        <v>193</v>
      </c>
      <c r="C10" s="138">
        <v>55000</v>
      </c>
      <c r="D10" s="4">
        <f>Input!C18-Input!C24</f>
        <v>22500</v>
      </c>
      <c r="E10" s="4">
        <f>SUM(C10:D10)</f>
        <v>77500</v>
      </c>
      <c r="F10" s="4">
        <f>Cash_Flow!D110</f>
        <v>50000</v>
      </c>
      <c r="G10" s="4">
        <f>Cash_Flow!E110</f>
        <v>50000</v>
      </c>
      <c r="H10" s="4">
        <f>Cash_Flow!F110</f>
        <v>50000</v>
      </c>
      <c r="I10" s="4">
        <f>Cash_Flow!G110</f>
        <v>50000</v>
      </c>
      <c r="J10" s="4">
        <f>Cash_Flow!H110</f>
        <v>50000</v>
      </c>
      <c r="K10" s="4">
        <f>Cash_Flow!I110</f>
        <v>50000</v>
      </c>
      <c r="L10" s="4">
        <f>Cash_Flow!J110</f>
        <v>50000</v>
      </c>
      <c r="M10" s="4">
        <f>Cash_Flow!K110</f>
        <v>134328.86602788387</v>
      </c>
      <c r="N10" s="4">
        <f>Cash_Flow!L110</f>
        <v>263486.0034852091</v>
      </c>
      <c r="O10" s="4">
        <f>Cash_Flow!M110</f>
        <v>352890.01909942925</v>
      </c>
    </row>
    <row r="11" spans="1:15" ht="12.75">
      <c r="A11" s="10" t="s">
        <v>69</v>
      </c>
      <c r="C11" s="138">
        <v>85000</v>
      </c>
      <c r="D11" s="4"/>
      <c r="E11" s="4">
        <f>SUM(C11:D11)</f>
        <v>85000</v>
      </c>
      <c r="F11" s="4">
        <f>Inc_St!D8*acc_recv*(1+acc_recv_ann_incr)^(F5-1)</f>
        <v>198000</v>
      </c>
      <c r="G11" s="4">
        <f>Inc_St!E8*acc_recv*(1+acc_recv_ann_incr)^(G5-1)</f>
        <v>228690</v>
      </c>
      <c r="H11" s="4">
        <f>Inc_St!F8*acc_recv*(1+acc_recv_ann_incr)^(H5-1)</f>
        <v>264136.95</v>
      </c>
      <c r="I11" s="4">
        <f>Inc_St!G8*acc_recv*(1+acc_recv_ann_incr)^(I5-1)</f>
        <v>305078.1772500001</v>
      </c>
      <c r="J11" s="4">
        <f>Inc_St!H8*acc_recv*(1+acc_recv_ann_incr)^(J5-1)</f>
        <v>352365.29472375003</v>
      </c>
      <c r="K11" s="4">
        <f>Inc_St!I8*acc_recv*(1+acc_recv_ann_incr)^(K5-1)</f>
        <v>406981.9154059314</v>
      </c>
      <c r="L11" s="4">
        <f>Inc_St!J8*acc_recv*(1+acc_recv_ann_incr)^(L5-1)</f>
        <v>470064.1122938508</v>
      </c>
      <c r="M11" s="4">
        <f>Inc_St!K8*acc_recv*(1+acc_recv_ann_incr)^(M5-1)</f>
        <v>542924.0496993979</v>
      </c>
      <c r="N11" s="4">
        <f>Inc_St!L8*acc_recv*(1+acc_recv_ann_incr)^(N5-1)</f>
        <v>627077.2774028046</v>
      </c>
      <c r="O11" s="4">
        <f>Inc_St!M8*acc_recv*(1+acc_recv_ann_incr)^(O5-1)</f>
        <v>724274.2554002395</v>
      </c>
    </row>
    <row r="12" spans="1:15" ht="12.75">
      <c r="A12" s="10" t="s">
        <v>49</v>
      </c>
      <c r="C12" s="138">
        <v>95999</v>
      </c>
      <c r="D12" s="4"/>
      <c r="E12" s="4">
        <f>SUM(C12:D12)</f>
        <v>95999</v>
      </c>
      <c r="F12" s="4">
        <f>Inc_St!D10*inventories*(1+inventories_ann_incr)^(F5-1)</f>
        <v>99000</v>
      </c>
      <c r="G12" s="4">
        <f>Inc_St!E10*inventories*(1+inventories_ann_incr)^(G5-1)</f>
        <v>113539.14</v>
      </c>
      <c r="H12" s="4">
        <f>Inc_St!F10*inventories*(1+inventories_ann_incr)^(H5-1)</f>
        <v>130213.49810040001</v>
      </c>
      <c r="I12" s="4">
        <f>Inc_St!G10*inventories*(1+inventories_ann_incr)^(I5-1)</f>
        <v>149336.65243142474</v>
      </c>
      <c r="J12" s="4">
        <f>Inc_St!H10*inventories*(1+inventories_ann_incr)^(J5-1)</f>
        <v>171268.23320750386</v>
      </c>
      <c r="K12" s="4">
        <f>Inc_St!I10*inventories*(1+inventories_ann_incr)^(K5-1)</f>
        <v>196420.68593635788</v>
      </c>
      <c r="L12" s="4">
        <f>Inc_St!J10*inventories*(1+inventories_ann_incr)^(L5-1)</f>
        <v>225267.02787297143</v>
      </c>
      <c r="M12" s="4">
        <f>Inc_St!K10*inventories*(1+inventories_ann_incr)^(M5-1)</f>
        <v>258349.743586396</v>
      </c>
      <c r="N12" s="4">
        <f>Inc_St!L10*inventories*(1+inventories_ann_incr)^(N5-1)</f>
        <v>296290.98692949425</v>
      </c>
      <c r="O12" s="4">
        <f>Inc_St!M10*inventories*(1+inventories_ann_incr)^(O5-1)</f>
        <v>339804.2812699598</v>
      </c>
    </row>
    <row r="13" spans="1:15" ht="12.75">
      <c r="A13" s="10" t="s">
        <v>50</v>
      </c>
      <c r="C13" s="138">
        <v>22000</v>
      </c>
      <c r="D13" s="4"/>
      <c r="E13" s="4">
        <f>SUM(C13:D13)</f>
        <v>22000</v>
      </c>
      <c r="F13" s="4">
        <f>Inc_St!D8*prepaids*(1+prepaids_ann_incr)^(F5-1)</f>
        <v>49500</v>
      </c>
      <c r="G13" s="4">
        <f>Inc_St!E8*prepaids*(1+prepaids_ann_incr)^(G5-1)</f>
        <v>55539</v>
      </c>
      <c r="H13" s="4">
        <f>Inc_St!F8*prepaids*(1+prepaids_ann_incr)^(H5-1)</f>
        <v>62314.758</v>
      </c>
      <c r="I13" s="4">
        <f>Inc_St!G8*prepaids*(1+prepaids_ann_incr)^(I5-1)</f>
        <v>69917.15847600001</v>
      </c>
      <c r="J13" s="4">
        <f>Inc_St!H8*prepaids*(1+prepaids_ann_incr)^(J5-1)</f>
        <v>78447.05181007201</v>
      </c>
      <c r="K13" s="4">
        <f>Inc_St!I8*prepaids*(1+prepaids_ann_incr)^(K5-1)</f>
        <v>88017.59213090081</v>
      </c>
      <c r="L13" s="4">
        <f>Inc_St!J8*prepaids*(1+prepaids_ann_incr)^(L5-1)</f>
        <v>98755.73837087073</v>
      </c>
      <c r="M13" s="4">
        <f>Inc_St!K8*prepaids*(1+prepaids_ann_incr)^(M5-1)</f>
        <v>110803.93845211696</v>
      </c>
      <c r="N13" s="4">
        <f>Inc_St!L8*prepaids*(1+prepaids_ann_incr)^(N5-1)</f>
        <v>124322.01894327527</v>
      </c>
      <c r="O13" s="4">
        <f>Inc_St!M8*prepaids*(1+prepaids_ann_incr)^(O5-1)</f>
        <v>139489.30525435487</v>
      </c>
    </row>
    <row r="14" spans="1:15" ht="12.75">
      <c r="A14" s="10" t="s">
        <v>52</v>
      </c>
      <c r="C14" s="138">
        <v>45000</v>
      </c>
      <c r="D14" s="4"/>
      <c r="E14" s="4">
        <f>SUM(C14:D14)</f>
        <v>45000</v>
      </c>
      <c r="F14" s="4">
        <f>Inc_St!D8*other_curr_assets*(1+other_curr_assets_ann_incr)^(F5-1)</f>
        <v>132000</v>
      </c>
      <c r="G14" s="4">
        <f>Inc_St!E8*other_curr_assets*(1+other_curr_assets_ann_incr)^(G5-1)</f>
        <v>148830</v>
      </c>
      <c r="H14" s="4">
        <f>Inc_St!F8*other_curr_assets*(1+other_curr_assets_ann_incr)^(H5-1)</f>
        <v>167805.82499999998</v>
      </c>
      <c r="I14" s="4">
        <f>Inc_St!G8*other_curr_assets*(1+other_curr_assets_ann_incr)^(I5-1)</f>
        <v>189201.0676875</v>
      </c>
      <c r="J14" s="4">
        <f>Inc_St!H8*other_curr_assets*(1+other_curr_assets_ann_incr)^(J5-1)</f>
        <v>213324.20381765626</v>
      </c>
      <c r="K14" s="4">
        <f>Inc_St!I8*other_curr_assets*(1+other_curr_assets_ann_incr)^(K5-1)</f>
        <v>240523.03980440742</v>
      </c>
      <c r="L14" s="4">
        <f>Inc_St!J8*other_curr_assets*(1+other_curr_assets_ann_incr)^(L5-1)</f>
        <v>271189.7273794694</v>
      </c>
      <c r="M14" s="4">
        <f>Inc_St!K8*other_curr_assets*(1+other_curr_assets_ann_incr)^(M5-1)</f>
        <v>305766.4176203518</v>
      </c>
      <c r="N14" s="4">
        <f>Inc_St!L8*other_curr_assets*(1+other_curr_assets_ann_incr)^(N5-1)</f>
        <v>344751.63586694666</v>
      </c>
      <c r="O14" s="4">
        <f>Inc_St!M8*other_curr_assets*(1+other_curr_assets_ann_incr)^(O5-1)</f>
        <v>388707.4694399824</v>
      </c>
    </row>
    <row r="15" spans="1:15" ht="12.75">
      <c r="A15" s="2"/>
      <c r="C15" s="4"/>
      <c r="D15" s="4"/>
      <c r="E15" s="4"/>
      <c r="F15" s="4"/>
      <c r="G15" s="4"/>
      <c r="H15" s="4"/>
      <c r="I15" s="4"/>
      <c r="J15" s="4"/>
      <c r="K15" s="4"/>
      <c r="L15" s="4"/>
      <c r="M15" s="4"/>
      <c r="N15" s="4"/>
      <c r="O15" s="4"/>
    </row>
    <row r="16" spans="1:15" ht="12.75">
      <c r="A16" s="2" t="s">
        <v>6</v>
      </c>
      <c r="C16" s="4">
        <f>SUM(C10:C14)</f>
        <v>302999</v>
      </c>
      <c r="D16" s="4"/>
      <c r="E16" s="4">
        <f>SUM(E10:E14)</f>
        <v>325499</v>
      </c>
      <c r="F16" s="4">
        <f aca="true" t="shared" si="1" ref="F16:O16">SUM(F10:F14)</f>
        <v>528500</v>
      </c>
      <c r="G16" s="4">
        <f t="shared" si="1"/>
        <v>596598.14</v>
      </c>
      <c r="H16" s="4">
        <f t="shared" si="1"/>
        <v>674471.0311004</v>
      </c>
      <c r="I16" s="4">
        <f t="shared" si="1"/>
        <v>763533.0558449249</v>
      </c>
      <c r="J16" s="4">
        <f t="shared" si="1"/>
        <v>865404.7835589822</v>
      </c>
      <c r="K16" s="4">
        <f t="shared" si="1"/>
        <v>981943.2332775975</v>
      </c>
      <c r="L16" s="4">
        <f t="shared" si="1"/>
        <v>1115276.6059171623</v>
      </c>
      <c r="M16" s="4">
        <f t="shared" si="1"/>
        <v>1352173.0153861465</v>
      </c>
      <c r="N16" s="4">
        <f t="shared" si="1"/>
        <v>1655927.9226277298</v>
      </c>
      <c r="O16" s="4">
        <f t="shared" si="1"/>
        <v>1945165.330463966</v>
      </c>
    </row>
    <row r="17" spans="3:15" ht="12.75">
      <c r="C17" s="4"/>
      <c r="D17" s="4"/>
      <c r="E17" s="4"/>
      <c r="F17" s="4"/>
      <c r="G17" s="4"/>
      <c r="H17" s="4"/>
      <c r="I17" s="4"/>
      <c r="J17" s="4"/>
      <c r="K17" s="4"/>
      <c r="L17" s="4"/>
      <c r="M17" s="4"/>
      <c r="N17" s="4"/>
      <c r="O17" s="4"/>
    </row>
    <row r="18" spans="1:15" ht="12.75">
      <c r="A18" s="2" t="s">
        <v>24</v>
      </c>
      <c r="C18" s="4"/>
      <c r="D18" s="4"/>
      <c r="E18" s="4"/>
      <c r="F18" s="4"/>
      <c r="G18" s="4"/>
      <c r="H18" s="4"/>
      <c r="I18" s="4"/>
      <c r="J18" s="4"/>
      <c r="K18" s="4"/>
      <c r="L18" s="4"/>
      <c r="M18" s="4"/>
      <c r="N18" s="4"/>
      <c r="O18" s="4"/>
    </row>
    <row r="19" spans="1:15" ht="12.75">
      <c r="A19" s="23" t="s">
        <v>88</v>
      </c>
      <c r="C19" s="138">
        <v>20000</v>
      </c>
      <c r="D19" s="4">
        <f>-C19+Input!C53</f>
        <v>191478.5</v>
      </c>
      <c r="E19" s="4">
        <f>SUM(C19:D19)</f>
        <v>211478.5</v>
      </c>
      <c r="F19" s="4">
        <f>E19-Depr_Amort!F43</f>
        <v>211478.5</v>
      </c>
      <c r="G19" s="4">
        <f>F19-Depr_Amort!G43</f>
        <v>211478.5</v>
      </c>
      <c r="H19" s="4">
        <f>G19-Depr_Amort!H43</f>
        <v>211478.5</v>
      </c>
      <c r="I19" s="4">
        <f>H19-Depr_Amort!I43</f>
        <v>211478.5</v>
      </c>
      <c r="J19" s="4">
        <f>I19-Depr_Amort!J43</f>
        <v>211478.5</v>
      </c>
      <c r="K19" s="4">
        <f>J19-Depr_Amort!K43</f>
        <v>211478.5</v>
      </c>
      <c r="L19" s="4">
        <f>K19-Depr_Amort!L43</f>
        <v>211478.5</v>
      </c>
      <c r="M19" s="4">
        <f>L19-Depr_Amort!M43</f>
        <v>211478.5</v>
      </c>
      <c r="N19" s="4">
        <f>M19-Depr_Amort!N43</f>
        <v>211478.5</v>
      </c>
      <c r="O19" s="4">
        <f>N19-Depr_Amort!O43</f>
        <v>211478.5</v>
      </c>
    </row>
    <row r="20" spans="1:15" ht="12.75">
      <c r="A20" s="23" t="s">
        <v>207</v>
      </c>
      <c r="C20" s="138">
        <v>950</v>
      </c>
      <c r="D20" s="4">
        <f>Input!C50</f>
        <v>1200</v>
      </c>
      <c r="E20" s="4">
        <f>SUM(C20:D20)</f>
        <v>2150</v>
      </c>
      <c r="F20" s="4">
        <f>E20-Depr_Amort!F42</f>
        <v>1970.8333333333333</v>
      </c>
      <c r="G20" s="4">
        <f>F20-Depr_Amort!G42</f>
        <v>1791.6666666666665</v>
      </c>
      <c r="H20" s="4">
        <f>G20-Depr_Amort!H42</f>
        <v>1612.4999999999998</v>
      </c>
      <c r="I20" s="4">
        <f>H20-Depr_Amort!I42</f>
        <v>1433.333333333333</v>
      </c>
      <c r="J20" s="4">
        <f>I20-Depr_Amort!J42</f>
        <v>1254.1666666666663</v>
      </c>
      <c r="K20" s="4">
        <f>J20-Depr_Amort!K42</f>
        <v>1074.9999999999995</v>
      </c>
      <c r="L20" s="4">
        <f>K20-Depr_Amort!L42</f>
        <v>895.8333333333329</v>
      </c>
      <c r="M20" s="4">
        <f>L20-Depr_Amort!M42</f>
        <v>716.6666666666663</v>
      </c>
      <c r="N20" s="4">
        <f>M20-Depr_Amort!N42</f>
        <v>537.4999999999997</v>
      </c>
      <c r="O20" s="4">
        <f>N20-Depr_Amort!O42</f>
        <v>358.33333333333303</v>
      </c>
    </row>
    <row r="21" spans="1:15" ht="12.75">
      <c r="A21" s="22" t="str">
        <f>Input!A17</f>
        <v>Capitalized Financing Costs</v>
      </c>
      <c r="C21" s="4">
        <v>0</v>
      </c>
      <c r="D21" s="4">
        <f>Input!Q34</f>
        <v>10887.5</v>
      </c>
      <c r="E21" s="4">
        <f>SUM(C21:D21)</f>
        <v>10887.5</v>
      </c>
      <c r="F21" s="4">
        <f>E21-Depr_Amort!F45</f>
        <v>9834.722222222223</v>
      </c>
      <c r="G21" s="4">
        <f>F21-Depr_Amort!G45</f>
        <v>8781.944444444445</v>
      </c>
      <c r="H21" s="4">
        <f>G21-Depr_Amort!H45</f>
        <v>6979.166666666668</v>
      </c>
      <c r="I21" s="4">
        <f>H21-Depr_Amort!I45</f>
        <v>5463.8888888888905</v>
      </c>
      <c r="J21" s="4">
        <f>I21-Depr_Amort!J45</f>
        <v>4070.833333333335</v>
      </c>
      <c r="K21" s="4">
        <f>J21-Depr_Amort!K45</f>
        <v>1800.0000000000014</v>
      </c>
      <c r="L21" s="4">
        <f>K21-Depr_Amort!L45</f>
        <v>1350.0000000000014</v>
      </c>
      <c r="M21" s="4">
        <f>L21-Depr_Amort!M45</f>
        <v>900.0000000000014</v>
      </c>
      <c r="N21" s="4">
        <f>M21-Depr_Amort!N45</f>
        <v>450.00000000000136</v>
      </c>
      <c r="O21" s="4">
        <f>N21-Depr_Amort!O45</f>
        <v>1.3642420526593924E-12</v>
      </c>
    </row>
    <row r="22" spans="1:15" ht="12.75">
      <c r="A22" s="23" t="s">
        <v>254</v>
      </c>
      <c r="C22" s="138">
        <v>15000</v>
      </c>
      <c r="D22" s="4"/>
      <c r="E22" s="4">
        <f>SUM(C22:D22)</f>
        <v>15000</v>
      </c>
      <c r="F22" s="4">
        <f>Inc_St!D8*other_longterm_assets*(1+other_longterm_assets_ann_incr)^(F5-1)</f>
        <v>44000</v>
      </c>
      <c r="G22" s="4">
        <f>Inc_St!E8*other_longterm_assets*(1+other_longterm_assets_ann_incr)^(G5-1)</f>
        <v>48641.99999999999</v>
      </c>
      <c r="H22" s="4">
        <f>Inc_St!F8*other_longterm_assets*(1+other_longterm_assets_ann_incr)^(H5-1)</f>
        <v>53773.730999999985</v>
      </c>
      <c r="I22" s="4">
        <f>Inc_St!G8*other_longterm_assets*(1+other_longterm_assets_ann_incr)^(I5-1)</f>
        <v>59446.859620499985</v>
      </c>
      <c r="J22" s="4">
        <f>Inc_St!H8*other_longterm_assets*(1+other_longterm_assets_ann_incr)^(J5-1)</f>
        <v>65718.50331046274</v>
      </c>
      <c r="K22" s="4">
        <f>Inc_St!I8*other_longterm_assets*(1+other_longterm_assets_ann_incr)^(K5-1)</f>
        <v>72651.80540971654</v>
      </c>
      <c r="L22" s="4">
        <f>Inc_St!J8*other_longterm_assets*(1+other_longterm_assets_ann_incr)^(L5-1)</f>
        <v>80316.57088044162</v>
      </c>
      <c r="M22" s="4">
        <f>Inc_St!K8*other_longterm_assets*(1+other_longterm_assets_ann_incr)^(M5-1)</f>
        <v>88789.96910832822</v>
      </c>
      <c r="N22" s="4">
        <f>Inc_St!L8*other_longterm_assets*(1+other_longterm_assets_ann_incr)^(N5-1)</f>
        <v>98157.31084925686</v>
      </c>
      <c r="O22" s="4">
        <f>Inc_St!M8*other_longterm_assets*(1+other_longterm_assets_ann_incr)^(O5-1)</f>
        <v>108512.90714385349</v>
      </c>
    </row>
    <row r="23" spans="1:15" ht="12.75">
      <c r="A23" s="6" t="s">
        <v>89</v>
      </c>
      <c r="C23" s="4"/>
      <c r="D23" s="4"/>
      <c r="E23" s="4"/>
      <c r="F23" s="4"/>
      <c r="G23" s="4"/>
      <c r="H23" s="4"/>
      <c r="I23" s="4"/>
      <c r="J23" s="4"/>
      <c r="K23" s="4"/>
      <c r="L23" s="4"/>
      <c r="M23" s="4"/>
      <c r="N23" s="4"/>
      <c r="O23" s="4"/>
    </row>
    <row r="24" spans="1:15" ht="12.75">
      <c r="A24" s="20" t="s">
        <v>13</v>
      </c>
      <c r="C24" s="138">
        <v>500000</v>
      </c>
      <c r="D24" s="4">
        <f>Input!C49</f>
        <v>2450</v>
      </c>
      <c r="E24" s="4">
        <f>SUM(C24:D24)</f>
        <v>502450</v>
      </c>
      <c r="F24" s="4">
        <f>E24</f>
        <v>502450</v>
      </c>
      <c r="G24" s="4">
        <f>F24+F25</f>
        <v>612450</v>
      </c>
      <c r="H24" s="4">
        <f>G24+G25</f>
        <v>733450</v>
      </c>
      <c r="I24" s="4">
        <f aca="true" t="shared" si="2" ref="I24:O24">H24+H25</f>
        <v>866550</v>
      </c>
      <c r="J24" s="4">
        <f t="shared" si="2"/>
        <v>1012960</v>
      </c>
      <c r="K24" s="4">
        <f t="shared" si="2"/>
        <v>1174011</v>
      </c>
      <c r="L24" s="4">
        <f t="shared" si="2"/>
        <v>1351167.1</v>
      </c>
      <c r="M24" s="4">
        <f t="shared" si="2"/>
        <v>1546038.8100000003</v>
      </c>
      <c r="N24" s="4">
        <f t="shared" si="2"/>
        <v>1760397.6910000006</v>
      </c>
      <c r="O24" s="4">
        <f t="shared" si="2"/>
        <v>1996192.4601000007</v>
      </c>
    </row>
    <row r="25" spans="1:15" ht="12.75">
      <c r="A25" s="10" t="s">
        <v>187</v>
      </c>
      <c r="C25" s="4">
        <v>0</v>
      </c>
      <c r="D25" s="4"/>
      <c r="E25" s="4">
        <f>SUM(C25:D25)</f>
        <v>0</v>
      </c>
      <c r="F25" s="4">
        <f>Depr_Amort!B24</f>
        <v>110000</v>
      </c>
      <c r="G25" s="4">
        <f>Depr_Amort!B25</f>
        <v>121000</v>
      </c>
      <c r="H25" s="4">
        <f>Depr_Amort!B26</f>
        <v>133100</v>
      </c>
      <c r="I25" s="4">
        <f>Depr_Amort!B27</f>
        <v>146410.00000000003</v>
      </c>
      <c r="J25" s="4">
        <f>Depr_Amort!B28</f>
        <v>161051.00000000006</v>
      </c>
      <c r="K25" s="4">
        <f>Depr_Amort!B29</f>
        <v>177156.1000000001</v>
      </c>
      <c r="L25" s="4">
        <f>Depr_Amort!B30</f>
        <v>194871.7100000001</v>
      </c>
      <c r="M25" s="4">
        <f>Depr_Amort!B31</f>
        <v>214358.88100000017</v>
      </c>
      <c r="N25" s="4">
        <f>Depr_Amort!B32</f>
        <v>235794.7691000002</v>
      </c>
      <c r="O25" s="4">
        <f>Depr_Amort!B33</f>
        <v>259374.24601000026</v>
      </c>
    </row>
    <row r="26" spans="1:16" ht="12.75">
      <c r="A26" s="10" t="s">
        <v>99</v>
      </c>
      <c r="C26" s="4">
        <v>0</v>
      </c>
      <c r="D26" s="4"/>
      <c r="E26" s="4">
        <f>SUM(C26:D26)</f>
        <v>0</v>
      </c>
      <c r="F26" s="4">
        <f>Depr_Amort!F39</f>
        <v>72745</v>
      </c>
      <c r="G26" s="4">
        <f>Depr_Amort!G39</f>
        <v>84845</v>
      </c>
      <c r="H26" s="4">
        <f>Depr_Amort!H39</f>
        <v>93718.33333333334</v>
      </c>
      <c r="I26" s="4">
        <f>Depr_Amort!I39</f>
        <v>104176.19047619047</v>
      </c>
      <c r="J26" s="4">
        <f>Depr_Amort!J39</f>
        <v>117597.10714285716</v>
      </c>
      <c r="K26" s="4">
        <f>Depr_Amort!K39</f>
        <v>128669.36339285717</v>
      </c>
      <c r="L26" s="4">
        <f>Depr_Amort!L39</f>
        <v>101352.47739285717</v>
      </c>
      <c r="M26" s="4">
        <f>Depr_Amort!M39</f>
        <v>115643.06945952385</v>
      </c>
      <c r="N26" s="4">
        <f>Depr_Amort!N39</f>
        <v>127867.63355119053</v>
      </c>
      <c r="O26" s="4">
        <f>Depr_Amort!O39</f>
        <v>149482.1540520239</v>
      </c>
      <c r="P26" s="6"/>
    </row>
    <row r="27" spans="1:15" ht="12.75">
      <c r="A27" s="10" t="s">
        <v>30</v>
      </c>
      <c r="C27" s="138">
        <v>25000</v>
      </c>
      <c r="D27" s="4"/>
      <c r="E27" s="4">
        <f>SUM(C27:D27)</f>
        <v>25000</v>
      </c>
      <c r="F27" s="4">
        <f>E27+F26</f>
        <v>97745</v>
      </c>
      <c r="G27" s="4">
        <f>F27+G26</f>
        <v>182590</v>
      </c>
      <c r="H27" s="4">
        <f>G27+H26</f>
        <v>276308.3333333334</v>
      </c>
      <c r="I27" s="4">
        <f aca="true" t="shared" si="3" ref="I27:O27">H27+I26</f>
        <v>380484.52380952385</v>
      </c>
      <c r="J27" s="4">
        <f t="shared" si="3"/>
        <v>498081.630952381</v>
      </c>
      <c r="K27" s="4">
        <f t="shared" si="3"/>
        <v>626750.9943452382</v>
      </c>
      <c r="L27" s="4">
        <f t="shared" si="3"/>
        <v>728103.4717380954</v>
      </c>
      <c r="M27" s="4">
        <f t="shared" si="3"/>
        <v>843746.5411976193</v>
      </c>
      <c r="N27" s="4">
        <f t="shared" si="3"/>
        <v>971614.1747488098</v>
      </c>
      <c r="O27" s="4">
        <f t="shared" si="3"/>
        <v>1121096.3288008338</v>
      </c>
    </row>
    <row r="28" spans="1:15" ht="12.75">
      <c r="A28" s="10" t="s">
        <v>7</v>
      </c>
      <c r="C28" s="4">
        <f>C24+C25-C27</f>
        <v>475000</v>
      </c>
      <c r="D28" s="4"/>
      <c r="E28" s="4">
        <f>E24+E25-E27</f>
        <v>477450</v>
      </c>
      <c r="F28" s="4">
        <f>F24+F25-F27</f>
        <v>514705</v>
      </c>
      <c r="G28" s="4">
        <f>G24+G25-G27</f>
        <v>550860</v>
      </c>
      <c r="H28" s="4">
        <f aca="true" t="shared" si="4" ref="H28:O28">H24+H25-H27</f>
        <v>590241.6666666666</v>
      </c>
      <c r="I28" s="4">
        <f t="shared" si="4"/>
        <v>632475.4761904762</v>
      </c>
      <c r="J28" s="4">
        <f t="shared" si="4"/>
        <v>675929.3690476189</v>
      </c>
      <c r="K28" s="4">
        <f t="shared" si="4"/>
        <v>724416.1056547619</v>
      </c>
      <c r="L28" s="4">
        <f t="shared" si="4"/>
        <v>817935.3382619049</v>
      </c>
      <c r="M28" s="4">
        <f t="shared" si="4"/>
        <v>916651.1498023813</v>
      </c>
      <c r="N28" s="4">
        <f t="shared" si="4"/>
        <v>1024578.285351191</v>
      </c>
      <c r="O28" s="4">
        <f t="shared" si="4"/>
        <v>1134470.3773091673</v>
      </c>
    </row>
    <row r="29" spans="3:15" ht="12.75">
      <c r="C29" s="4"/>
      <c r="D29" s="4"/>
      <c r="E29" s="4"/>
      <c r="F29" s="4"/>
      <c r="G29" s="4"/>
      <c r="H29" s="4"/>
      <c r="I29" s="4"/>
      <c r="J29" s="4"/>
      <c r="K29" s="4"/>
      <c r="L29" s="4"/>
      <c r="M29" s="4"/>
      <c r="N29" s="4"/>
      <c r="O29" s="4"/>
    </row>
    <row r="30" spans="1:15" ht="12.75">
      <c r="A30" s="6" t="s">
        <v>100</v>
      </c>
      <c r="C30" s="4">
        <f>SUM(C19,C20,C21,C22,C28)</f>
        <v>510950</v>
      </c>
      <c r="D30" s="4"/>
      <c r="E30" s="4">
        <f aca="true" t="shared" si="5" ref="E30:O30">SUM(E19,E20,E21,E22,E28)</f>
        <v>716966</v>
      </c>
      <c r="F30" s="4">
        <f t="shared" si="5"/>
        <v>781989.0555555555</v>
      </c>
      <c r="G30" s="4">
        <f t="shared" si="5"/>
        <v>821554.111111111</v>
      </c>
      <c r="H30" s="4">
        <f t="shared" si="5"/>
        <v>864085.5643333333</v>
      </c>
      <c r="I30" s="4">
        <f t="shared" si="5"/>
        <v>910298.0580331985</v>
      </c>
      <c r="J30" s="4">
        <f t="shared" si="5"/>
        <v>958451.3723580816</v>
      </c>
      <c r="K30" s="4">
        <f t="shared" si="5"/>
        <v>1011421.4110644785</v>
      </c>
      <c r="L30" s="4">
        <f t="shared" si="5"/>
        <v>1111976.2424756798</v>
      </c>
      <c r="M30" s="4">
        <f t="shared" si="5"/>
        <v>1218536.2855773761</v>
      </c>
      <c r="N30" s="4">
        <f t="shared" si="5"/>
        <v>1335201.5962004478</v>
      </c>
      <c r="O30" s="4">
        <f t="shared" si="5"/>
        <v>1454820.1177863542</v>
      </c>
    </row>
    <row r="31" spans="3:15" ht="12.75">
      <c r="C31" s="4"/>
      <c r="D31" s="4"/>
      <c r="E31" s="4"/>
      <c r="F31" s="4"/>
      <c r="G31" s="4"/>
      <c r="H31" s="4"/>
      <c r="I31" s="4"/>
      <c r="J31" s="4"/>
      <c r="K31" s="4"/>
      <c r="L31" s="4"/>
      <c r="M31" s="4"/>
      <c r="N31" s="4"/>
      <c r="O31" s="4"/>
    </row>
    <row r="32" spans="1:15" ht="12.75">
      <c r="A32" s="9" t="s">
        <v>15</v>
      </c>
      <c r="C32" s="12">
        <f>SUM(C16,C30)</f>
        <v>813949</v>
      </c>
      <c r="D32" s="12">
        <f>SUM(D10:D31)</f>
        <v>228516</v>
      </c>
      <c r="E32" s="12">
        <f aca="true" t="shared" si="6" ref="E32:O32">SUM(E16,E30)</f>
        <v>1042465</v>
      </c>
      <c r="F32" s="12">
        <f t="shared" si="6"/>
        <v>1310489.0555555555</v>
      </c>
      <c r="G32" s="12">
        <f t="shared" si="6"/>
        <v>1418152.2511111111</v>
      </c>
      <c r="H32" s="12">
        <f t="shared" si="6"/>
        <v>1538556.5954337334</v>
      </c>
      <c r="I32" s="12">
        <f t="shared" si="6"/>
        <v>1673831.1138781235</v>
      </c>
      <c r="J32" s="12">
        <f t="shared" si="6"/>
        <v>1823856.1559170638</v>
      </c>
      <c r="K32" s="12">
        <f t="shared" si="6"/>
        <v>1993364.644342076</v>
      </c>
      <c r="L32" s="12">
        <f t="shared" si="6"/>
        <v>2227252.8483928423</v>
      </c>
      <c r="M32" s="12">
        <f t="shared" si="6"/>
        <v>2570709.300963523</v>
      </c>
      <c r="N32" s="12">
        <f t="shared" si="6"/>
        <v>2991129.518828178</v>
      </c>
      <c r="O32" s="12">
        <f t="shared" si="6"/>
        <v>3399985.44825032</v>
      </c>
    </row>
    <row r="33" spans="3:15" ht="12.75">
      <c r="C33" s="4"/>
      <c r="D33" s="4"/>
      <c r="E33" s="4"/>
      <c r="F33" s="4"/>
      <c r="G33" s="4"/>
      <c r="H33" s="4"/>
      <c r="I33" s="4"/>
      <c r="J33" s="4"/>
      <c r="K33" s="4"/>
      <c r="L33" s="4"/>
      <c r="M33" s="4"/>
      <c r="N33" s="4"/>
      <c r="O33" s="4"/>
    </row>
    <row r="34" spans="1:15" ht="12.75">
      <c r="A34" s="2"/>
      <c r="C34" s="4"/>
      <c r="D34" s="4"/>
      <c r="E34" s="4"/>
      <c r="F34" s="4"/>
      <c r="G34" s="4"/>
      <c r="H34" s="4"/>
      <c r="I34" s="4"/>
      <c r="J34" s="4"/>
      <c r="K34" s="4"/>
      <c r="L34" s="4"/>
      <c r="M34" s="4"/>
      <c r="N34" s="4"/>
      <c r="O34" s="4"/>
    </row>
    <row r="35" spans="1:15" ht="12.75">
      <c r="A35" s="9" t="s">
        <v>8</v>
      </c>
      <c r="C35" s="4"/>
      <c r="D35" s="4"/>
      <c r="E35" s="4"/>
      <c r="F35" s="94"/>
      <c r="G35" s="94"/>
      <c r="H35" s="94"/>
      <c r="I35" s="94"/>
      <c r="J35" s="94"/>
      <c r="K35" s="94"/>
      <c r="L35" s="94"/>
      <c r="M35" s="94"/>
      <c r="N35" s="94"/>
      <c r="O35" s="94"/>
    </row>
    <row r="36" spans="3:15" ht="12.75">
      <c r="C36" s="4"/>
      <c r="D36" s="4"/>
      <c r="E36" s="4"/>
      <c r="F36" s="4"/>
      <c r="G36" s="4"/>
      <c r="H36" s="4"/>
      <c r="I36" s="4"/>
      <c r="J36" s="4"/>
      <c r="K36" s="4"/>
      <c r="L36" s="4"/>
      <c r="M36" s="4"/>
      <c r="N36" s="4"/>
      <c r="O36" s="4"/>
    </row>
    <row r="37" spans="1:15" ht="12.75">
      <c r="A37" s="2" t="s">
        <v>9</v>
      </c>
      <c r="C37" s="4"/>
      <c r="D37" s="4"/>
      <c r="E37" s="4"/>
      <c r="F37" s="4"/>
      <c r="G37" s="4"/>
      <c r="H37" s="4"/>
      <c r="I37" s="4"/>
      <c r="J37" s="4"/>
      <c r="K37" s="4"/>
      <c r="L37" s="4"/>
      <c r="M37" s="4"/>
      <c r="N37" s="4"/>
      <c r="O37" s="4"/>
    </row>
    <row r="38" spans="1:15" ht="12.75">
      <c r="A38" s="10" t="s">
        <v>23</v>
      </c>
      <c r="C38" s="138">
        <v>51800</v>
      </c>
      <c r="D38" s="4"/>
      <c r="E38" s="4">
        <f>SUM(C38:D38)</f>
        <v>51800</v>
      </c>
      <c r="F38" s="4">
        <f>(Inc_St!D10+F12-E12)*acc_payable*(1+acc_payable_ann_incr)^(F5-1)</f>
        <v>74700.15</v>
      </c>
      <c r="G38" s="4">
        <f>(Inc_St!E10+G12-F12)*acc_payable*(1+acc_payable_ann_incr)^(G5-1)</f>
        <v>85741.25967</v>
      </c>
      <c r="H38" s="4">
        <f>(Inc_St!F10+H12-G12)*acc_payable*(1+acc_payable_ann_incr)^(H5-1)</f>
        <v>96542.28221100465</v>
      </c>
      <c r="I38" s="4">
        <f>(Inc_St!G10+I12-H12)*acc_payable*(1+acc_payable_ann_incr)^(I5-1)</f>
        <v>108708.32045981823</v>
      </c>
      <c r="J38" s="4">
        <f>(Inc_St!H10+J12-I12)*acc_payable*(1+acc_payable_ann_incr)^(J5-1)</f>
        <v>122412.6207506809</v>
      </c>
      <c r="K38" s="4">
        <f>(Inc_St!I10+K12-J12)*acc_payable*(1+acc_payable_ann_incr)^(K5-1)</f>
        <v>137850.5413846888</v>
      </c>
      <c r="L38" s="4">
        <f>(Inc_St!J10+L12-K12)*acc_payable*(1+acc_payable_ann_incr)^(L5-1)</f>
        <v>155242.39550733328</v>
      </c>
      <c r="M38" s="4">
        <f>(Inc_St!K10+M12-L12)*acc_payable*(1+acc_payable_ann_incr)^(M5-1)</f>
        <v>174836.6629173967</v>
      </c>
      <c r="N38" s="4">
        <f>(Inc_St!L10+N12-M12)*acc_payable*(1+acc_payable_ann_incr)^(N5-1)</f>
        <v>196913.6192502438</v>
      </c>
      <c r="O38" s="4">
        <f>(Inc_St!M10+O12-N12)*acc_payable*(1+acc_payable_ann_incr)^(O5-1)</f>
        <v>221789.43743174686</v>
      </c>
    </row>
    <row r="39" spans="1:15" ht="12.75">
      <c r="A39" s="10" t="s">
        <v>51</v>
      </c>
      <c r="C39" s="138">
        <v>24000</v>
      </c>
      <c r="D39" s="4"/>
      <c r="E39" s="4">
        <f>SUM(C39:D39)</f>
        <v>24000</v>
      </c>
      <c r="F39" s="4">
        <f>Inc_St!D8*acc_exp*(1+acc_exp_ann_incr)^(F5-1)</f>
        <v>66000</v>
      </c>
      <c r="G39" s="4">
        <f>Inc_St!E8*acc_exp*(1+acc_exp_ann_incr)^(G5-1)</f>
        <v>73689</v>
      </c>
      <c r="H39" s="4">
        <f>Inc_St!F8*acc_exp*(1+acc_exp_ann_incr)^(H5-1)</f>
        <v>82273.76849999998</v>
      </c>
      <c r="I39" s="4">
        <f>Inc_St!G8*acc_exp*(1+acc_exp_ann_incr)^(I5-1)</f>
        <v>91858.66253024997</v>
      </c>
      <c r="J39" s="4">
        <f>Inc_St!H8*acc_exp*(1+acc_exp_ann_incr)^(J5-1)</f>
        <v>102560.1967150241</v>
      </c>
      <c r="K39" s="4">
        <f>Inc_St!I8*acc_exp*(1+acc_exp_ann_incr)^(K5-1)</f>
        <v>114508.45963232439</v>
      </c>
      <c r="L39" s="4">
        <f>Inc_St!J8*acc_exp*(1+acc_exp_ann_incr)^(L5-1)</f>
        <v>127848.69517949018</v>
      </c>
      <c r="M39" s="4">
        <f>Inc_St!K8*acc_exp*(1+acc_exp_ann_incr)^(M5-1)</f>
        <v>142743.06816790078</v>
      </c>
      <c r="N39" s="4">
        <f>Inc_St!L8*acc_exp*(1+acc_exp_ann_incr)^(N5-1)</f>
        <v>159372.63560946123</v>
      </c>
      <c r="O39" s="4">
        <f>Inc_St!M8*acc_exp*(1+acc_exp_ann_incr)^(O5-1)</f>
        <v>177939.5476579635</v>
      </c>
    </row>
    <row r="40" spans="1:15" ht="12.75">
      <c r="A40" s="10" t="s">
        <v>53</v>
      </c>
      <c r="C40" s="138">
        <v>22000</v>
      </c>
      <c r="D40" s="4"/>
      <c r="E40" s="4">
        <f>SUM(C40:D40)</f>
        <v>22000</v>
      </c>
      <c r="F40" s="4">
        <f>Inc_St!D8*other_curr_liab*(1+other_curr_liab_ann_incr)^(F5-1)</f>
        <v>88000</v>
      </c>
      <c r="G40" s="4">
        <f>Inc_St!E8*other_curr_liab*(1+other_curr_liab_ann_incr)^(G5-1)</f>
        <v>97768</v>
      </c>
      <c r="H40" s="4">
        <f>Inc_St!F8*other_curr_liab*(1+other_curr_liab_ann_incr)^(H5-1)</f>
        <v>108620.248</v>
      </c>
      <c r="I40" s="4">
        <f>Inc_St!G8*other_curr_liab*(1+other_curr_liab_ann_incr)^(I5-1)</f>
        <v>120677.095528</v>
      </c>
      <c r="J40" s="4">
        <f>Inc_St!H8*other_curr_liab*(1+other_curr_liab_ann_incr)^(J5-1)</f>
        <v>134072.25313160804</v>
      </c>
      <c r="K40" s="4">
        <f>Inc_St!I8*other_curr_liab*(1+other_curr_liab_ann_incr)^(K5-1)</f>
        <v>148954.27322921655</v>
      </c>
      <c r="L40" s="4">
        <f>Inc_St!J8*other_curr_liab*(1+other_curr_liab_ann_incr)^(L5-1)</f>
        <v>165488.19755765962</v>
      </c>
      <c r="M40" s="4">
        <f>Inc_St!K8*other_curr_liab*(1+other_curr_liab_ann_incr)^(M5-1)</f>
        <v>183857.38748655983</v>
      </c>
      <c r="N40" s="4">
        <f>Inc_St!L8*other_curr_liab*(1+other_curr_liab_ann_incr)^(N5-1)</f>
        <v>204265.55749756805</v>
      </c>
      <c r="O40" s="4">
        <f>Inc_St!M8*other_curr_liab*(1+other_curr_liab_ann_incr)^(O5-1)</f>
        <v>226939.03437979816</v>
      </c>
    </row>
    <row r="41" spans="1:19" ht="12.75">
      <c r="A41" s="2"/>
      <c r="C41" s="4"/>
      <c r="D41" s="4"/>
      <c r="E41" s="4"/>
      <c r="F41" s="4"/>
      <c r="G41" s="4"/>
      <c r="H41" s="4"/>
      <c r="I41" s="4"/>
      <c r="J41" s="4"/>
      <c r="K41" s="4"/>
      <c r="L41" s="4"/>
      <c r="M41" s="4"/>
      <c r="N41" s="4"/>
      <c r="O41" s="4"/>
      <c r="P41" s="4"/>
      <c r="Q41" s="4"/>
      <c r="R41" s="4"/>
      <c r="S41" s="4"/>
    </row>
    <row r="42" spans="1:15" ht="12.75">
      <c r="A42" s="2" t="s">
        <v>10</v>
      </c>
      <c r="C42" s="4">
        <f>SUM(C38:C40)</f>
        <v>97800</v>
      </c>
      <c r="D42" s="4"/>
      <c r="E42" s="4">
        <f>SUM(E38:E40)</f>
        <v>97800</v>
      </c>
      <c r="F42" s="4">
        <f aca="true" t="shared" si="7" ref="F42:O42">SUM(F38:F40)</f>
        <v>228700.15</v>
      </c>
      <c r="G42" s="4">
        <f t="shared" si="7"/>
        <v>257198.25967</v>
      </c>
      <c r="H42" s="4">
        <f t="shared" si="7"/>
        <v>287436.29871100467</v>
      </c>
      <c r="I42" s="4">
        <f t="shared" si="7"/>
        <v>321244.0785180682</v>
      </c>
      <c r="J42" s="4">
        <f t="shared" si="7"/>
        <v>359045.070597313</v>
      </c>
      <c r="K42" s="4">
        <f t="shared" si="7"/>
        <v>401313.2742462298</v>
      </c>
      <c r="L42" s="4">
        <f t="shared" si="7"/>
        <v>448579.28824448306</v>
      </c>
      <c r="M42" s="4">
        <f t="shared" si="7"/>
        <v>501437.11857185734</v>
      </c>
      <c r="N42" s="4">
        <f t="shared" si="7"/>
        <v>560551.8123572731</v>
      </c>
      <c r="O42" s="4">
        <f t="shared" si="7"/>
        <v>626668.0194695084</v>
      </c>
    </row>
    <row r="43" spans="3:15" ht="12.75">
      <c r="C43" s="4"/>
      <c r="D43" s="4"/>
      <c r="E43" s="4"/>
      <c r="F43" s="4"/>
      <c r="G43" s="4"/>
      <c r="H43" s="4"/>
      <c r="I43" s="4"/>
      <c r="J43" s="4"/>
      <c r="K43" s="4"/>
      <c r="L43" s="4"/>
      <c r="M43" s="4"/>
      <c r="N43" s="4"/>
      <c r="O43" s="4"/>
    </row>
    <row r="44" spans="1:15" ht="12.75">
      <c r="A44" s="6" t="s">
        <v>203</v>
      </c>
      <c r="C44" s="138">
        <v>1400</v>
      </c>
      <c r="D44" s="4">
        <f>-C44-Input!C52</f>
        <v>-122.5</v>
      </c>
      <c r="E44" s="4">
        <f>SUM(C44:D44)</f>
        <v>1277.5</v>
      </c>
      <c r="F44" s="4">
        <f>E44+Income_Tax!D30</f>
        <v>5872.789999999994</v>
      </c>
      <c r="G44" s="4">
        <f>F44+Income_Tax!E30</f>
        <v>6119.329999999973</v>
      </c>
      <c r="H44" s="4">
        <f>G44+Income_Tax!F30</f>
        <v>6365.869999999966</v>
      </c>
      <c r="I44" s="4">
        <f>H44+Income_Tax!G30</f>
        <v>8645.882222222179</v>
      </c>
      <c r="J44" s="4">
        <f>I44+Income_Tax!H30</f>
        <v>20303.03611111107</v>
      </c>
      <c r="K44" s="4">
        <f>J44+Income_Tax!I30</f>
        <v>31977.689999999973</v>
      </c>
      <c r="L44" s="4">
        <f>K44+Income_Tax!J30</f>
        <v>52836.92722222222</v>
      </c>
      <c r="M44" s="4">
        <f>L44+Income_Tax!K30</f>
        <v>106242.26139611116</v>
      </c>
      <c r="N44" s="4">
        <f>M44+Income_Tax!L30</f>
        <v>144024.3830700001</v>
      </c>
      <c r="O44" s="4">
        <f>N44+Income_Tax!M30</f>
        <v>139034.950568889</v>
      </c>
    </row>
    <row r="45" spans="1:15" ht="12.75">
      <c r="A45" s="2" t="s">
        <v>25</v>
      </c>
      <c r="C45" s="139"/>
      <c r="D45" s="4"/>
      <c r="E45" s="4"/>
      <c r="F45" s="4"/>
      <c r="G45" s="4"/>
      <c r="H45" s="4"/>
      <c r="I45" s="4"/>
      <c r="J45" s="4"/>
      <c r="K45" s="4"/>
      <c r="L45" s="4"/>
      <c r="M45" s="4"/>
      <c r="N45" s="4"/>
      <c r="O45" s="4"/>
    </row>
    <row r="46" spans="1:15" ht="12.75">
      <c r="A46" s="10" t="s">
        <v>177</v>
      </c>
      <c r="C46" s="138">
        <v>250000</v>
      </c>
      <c r="D46" s="4">
        <f>-Input!C14</f>
        <v>-185000</v>
      </c>
      <c r="E46" s="4">
        <f aca="true" t="shared" si="8" ref="E46:E53">SUM(C46:D46)</f>
        <v>65000</v>
      </c>
      <c r="F46" s="4">
        <f>E46-Cash_Flow!D85-Cash_Flow!D100</f>
        <v>57777.77777777778</v>
      </c>
      <c r="G46" s="4">
        <f>F46-Cash_Flow!E85-Cash_Flow!E100</f>
        <v>0</v>
      </c>
      <c r="H46" s="4">
        <f>G46-Cash_Flow!F85-Cash_Flow!F100</f>
        <v>0</v>
      </c>
      <c r="I46" s="4">
        <f>H46-Cash_Flow!G85-Cash_Flow!G100</f>
        <v>0</v>
      </c>
      <c r="J46" s="4">
        <f>I46-Cash_Flow!H85-Cash_Flow!H100</f>
        <v>0</v>
      </c>
      <c r="K46" s="4">
        <f>J46-Cash_Flow!I85-Cash_Flow!I100</f>
        <v>0</v>
      </c>
      <c r="L46" s="4">
        <f>K46-Cash_Flow!J85-Cash_Flow!J100</f>
        <v>0</v>
      </c>
      <c r="M46" s="4">
        <f>L46-Cash_Flow!K85-Cash_Flow!K100</f>
        <v>0</v>
      </c>
      <c r="N46" s="4">
        <f>M46-Cash_Flow!L85-Cash_Flow!L100</f>
        <v>0</v>
      </c>
      <c r="O46" s="4">
        <f>N46-Cash_Flow!M85-Cash_Flow!M100</f>
        <v>0</v>
      </c>
    </row>
    <row r="47" spans="1:15" ht="12.75">
      <c r="A47" s="10" t="str">
        <f>Input!A27</f>
        <v>Bank Revolver</v>
      </c>
      <c r="C47" s="4">
        <v>0</v>
      </c>
      <c r="D47" s="4">
        <f>Input!C27</f>
        <v>200887.5</v>
      </c>
      <c r="E47" s="4">
        <f t="shared" si="8"/>
        <v>200887.5</v>
      </c>
      <c r="F47" s="4">
        <f>E47+Cash_Flow!D96-Cash_Flow!D107</f>
        <v>213470.4319886925</v>
      </c>
      <c r="G47" s="4">
        <f>F47+Cash_Flow!E96-Cash_Flow!E107</f>
        <v>213470.4319886925</v>
      </c>
      <c r="H47" s="4">
        <f>G47+Cash_Flow!F96-Cash_Flow!F107</f>
        <v>213470.4319886925</v>
      </c>
      <c r="I47" s="4">
        <f>H47+Cash_Flow!G96-Cash_Flow!G107</f>
        <v>213470.4319886925</v>
      </c>
      <c r="J47" s="4">
        <f>I47+Cash_Flow!H96-Cash_Flow!H107</f>
        <v>213470.4319886925</v>
      </c>
      <c r="K47" s="4">
        <f>J47+Cash_Flow!I96-Cash_Flow!I107</f>
        <v>161317.4387489843</v>
      </c>
      <c r="L47" s="4">
        <f>K47+Cash_Flow!J96-Cash_Flow!J107</f>
        <v>57619.3112451442</v>
      </c>
      <c r="M47" s="4">
        <f>L47+Cash_Flow!K96-Cash_Flow!K107</f>
        <v>-5.820766091346741E-11</v>
      </c>
      <c r="N47" s="4">
        <f>M47+Cash_Flow!L96-Cash_Flow!L107</f>
        <v>-5.238689482212067E-10</v>
      </c>
      <c r="O47" s="4">
        <f>N47+Cash_Flow!M96-Cash_Flow!M107</f>
        <v>-1.3969838619232178E-09</v>
      </c>
    </row>
    <row r="48" spans="1:15" ht="12.75">
      <c r="A48" s="10" t="str">
        <f>Input!A28</f>
        <v>Term Loan "A"</v>
      </c>
      <c r="C48" s="4">
        <v>0</v>
      </c>
      <c r="D48" s="4">
        <f>Input!C28</f>
        <v>80000</v>
      </c>
      <c r="E48" s="4">
        <f t="shared" si="8"/>
        <v>80000</v>
      </c>
      <c r="F48" s="4">
        <f>E48-Cash_Flow!D86-Cash_Flow!D101</f>
        <v>70000</v>
      </c>
      <c r="G48" s="4">
        <f>F48-Cash_Flow!E86-Cash_Flow!E101</f>
        <v>57263.57156518573</v>
      </c>
      <c r="H48" s="4">
        <f>G48-Cash_Flow!F86-Cash_Flow!F101</f>
        <v>0</v>
      </c>
      <c r="I48" s="4">
        <f>H48-Cash_Flow!G86-Cash_Flow!G101</f>
        <v>0</v>
      </c>
      <c r="J48" s="4">
        <f>I48-Cash_Flow!H86-Cash_Flow!H101</f>
        <v>0</v>
      </c>
      <c r="K48" s="4">
        <f>J48-Cash_Flow!I86-Cash_Flow!I101</f>
        <v>0</v>
      </c>
      <c r="L48" s="4">
        <f>K48-Cash_Flow!J86-Cash_Flow!J101</f>
        <v>0</v>
      </c>
      <c r="M48" s="4">
        <f>L48-Cash_Flow!K86-Cash_Flow!K101</f>
        <v>0</v>
      </c>
      <c r="N48" s="4">
        <f>M48-Cash_Flow!L86-Cash_Flow!L101</f>
        <v>0</v>
      </c>
      <c r="O48" s="4">
        <f>N48-Cash_Flow!M86-Cash_Flow!M101</f>
        <v>0</v>
      </c>
    </row>
    <row r="49" spans="1:15" ht="12.75">
      <c r="A49" s="10" t="str">
        <f>Input!A29</f>
        <v>Term Loan "B"</v>
      </c>
      <c r="C49" s="4">
        <v>0</v>
      </c>
      <c r="D49" s="4">
        <f>Input!C29</f>
        <v>55000</v>
      </c>
      <c r="E49" s="4">
        <f t="shared" si="8"/>
        <v>55000</v>
      </c>
      <c r="F49" s="4">
        <f>E49-Cash_Flow!D87-Cash_Flow!D102</f>
        <v>52800</v>
      </c>
      <c r="G49" s="4">
        <f>F49-Cash_Flow!E87-Cash_Flow!E102</f>
        <v>50600</v>
      </c>
      <c r="H49" s="4">
        <f>G49-Cash_Flow!F87-Cash_Flow!F102</f>
        <v>29091.091720365177</v>
      </c>
      <c r="I49" s="4">
        <f>H49-Cash_Flow!G87-Cash_Flow!G102</f>
        <v>-5.820766091346741E-11</v>
      </c>
      <c r="J49" s="4">
        <f>I49-Cash_Flow!H87-Cash_Flow!H102</f>
        <v>-5.820766091346741E-11</v>
      </c>
      <c r="K49" s="4">
        <f>J49-Cash_Flow!I87-Cash_Flow!I102</f>
        <v>0</v>
      </c>
      <c r="L49" s="4">
        <f>K49-Cash_Flow!J87-Cash_Flow!J102</f>
        <v>1.7462298274040222E-10</v>
      </c>
      <c r="M49" s="4">
        <f>L49-Cash_Flow!K87-Cash_Flow!K102</f>
        <v>5.238689482212067E-10</v>
      </c>
      <c r="N49" s="4">
        <f>M49-Cash_Flow!L87-Cash_Flow!L102</f>
        <v>1.0477378964424133E-09</v>
      </c>
      <c r="O49" s="4">
        <f>N49-Cash_Flow!M87-Cash_Flow!M102</f>
        <v>1.57160684466362E-09</v>
      </c>
    </row>
    <row r="50" spans="1:15" ht="12.75">
      <c r="A50" s="10" t="str">
        <f>Input!A30</f>
        <v>Senior Notes</v>
      </c>
      <c r="C50" s="4">
        <v>0</v>
      </c>
      <c r="D50" s="4">
        <f>Input!C30</f>
        <v>65000</v>
      </c>
      <c r="E50" s="4">
        <f t="shared" si="8"/>
        <v>65000</v>
      </c>
      <c r="F50" s="4">
        <f>E50-Cash_Flow!D88-Cash_Flow!D103</f>
        <v>65000</v>
      </c>
      <c r="G50" s="4">
        <f>F50-Cash_Flow!E88-Cash_Flow!E103</f>
        <v>65000</v>
      </c>
      <c r="H50" s="4">
        <f>G50-Cash_Flow!F88-Cash_Flow!F103</f>
        <v>65000</v>
      </c>
      <c r="I50" s="4">
        <f>H50-Cash_Flow!G88-Cash_Flow!G103</f>
        <v>5819.193288800772</v>
      </c>
      <c r="J50" s="4">
        <f>I50-Cash_Flow!H88-Cash_Flow!H103</f>
        <v>-1.1641532182693481E-10</v>
      </c>
      <c r="K50" s="4">
        <f>J50-Cash_Flow!I88-Cash_Flow!I103</f>
        <v>-2.3283064365386963E-10</v>
      </c>
      <c r="L50" s="4">
        <f>K50-Cash_Flow!J88-Cash_Flow!J103</f>
        <v>-3.4924596548080444E-10</v>
      </c>
      <c r="M50" s="4">
        <f>L50-Cash_Flow!K88-Cash_Flow!K103</f>
        <v>-3.4924596548080444E-10</v>
      </c>
      <c r="N50" s="4">
        <f>M50-Cash_Flow!L88-Cash_Flow!L103</f>
        <v>0</v>
      </c>
      <c r="O50" s="4">
        <f>N50-Cash_Flow!M88-Cash_Flow!M103</f>
        <v>0</v>
      </c>
    </row>
    <row r="51" spans="1:15" ht="12.75">
      <c r="A51" s="10" t="str">
        <f>Input!A31</f>
        <v>Subordinated Notes</v>
      </c>
      <c r="C51" s="4">
        <v>0</v>
      </c>
      <c r="D51" s="4">
        <f>Input!C31</f>
        <v>40000</v>
      </c>
      <c r="E51" s="4">
        <f t="shared" si="8"/>
        <v>40000</v>
      </c>
      <c r="F51" s="4">
        <f>E51+Cash_Flow!D15-Cash_Flow!D89-Cash_Flow!D104</f>
        <v>41800</v>
      </c>
      <c r="G51" s="4">
        <f>F51+Cash_Flow!E15-Cash_Flow!E89-Cash_Flow!E104</f>
        <v>43681</v>
      </c>
      <c r="H51" s="4">
        <f>G51+Cash_Flow!F15-Cash_Flow!F89-Cash_Flow!F104</f>
        <v>45646.645</v>
      </c>
      <c r="I51" s="4">
        <f>H51+Cash_Flow!G15-Cash_Flow!G89-Cash_Flow!G104</f>
        <v>47700.744025</v>
      </c>
      <c r="J51" s="4">
        <f>I51+Cash_Flow!H15-Cash_Flow!H89-Cash_Flow!H104</f>
        <v>2146.5334811249995</v>
      </c>
      <c r="K51" s="4">
        <f>J51+Cash_Flow!I15-Cash_Flow!I89-Cash_Flow!I104</f>
        <v>0</v>
      </c>
      <c r="L51" s="4">
        <f>K51+Cash_Flow!J15-Cash_Flow!J89-Cash_Flow!J104</f>
        <v>0</v>
      </c>
      <c r="M51" s="4">
        <f>L51+Cash_Flow!K15-Cash_Flow!K89-Cash_Flow!K104</f>
        <v>0</v>
      </c>
      <c r="N51" s="4">
        <f>M51+Cash_Flow!L15-Cash_Flow!L89-Cash_Flow!L104</f>
        <v>0</v>
      </c>
      <c r="O51" s="4">
        <f>N51+Cash_Flow!M15-Cash_Flow!M89-Cash_Flow!M104</f>
        <v>0</v>
      </c>
    </row>
    <row r="52" spans="1:15" ht="12.75">
      <c r="A52" s="10" t="str">
        <f>Input!A32</f>
        <v>Mezzanine Debt</v>
      </c>
      <c r="C52" s="4">
        <v>0</v>
      </c>
      <c r="D52" s="4">
        <f>Input!C32</f>
        <v>70000</v>
      </c>
      <c r="E52" s="4">
        <f t="shared" si="8"/>
        <v>70000</v>
      </c>
      <c r="F52" s="4">
        <f>E52+Cash_Flow!D16-Cash_Flow!D90-Cash_Flow!D105</f>
        <v>73150</v>
      </c>
      <c r="G52" s="4">
        <f>F52+Cash_Flow!E16-Cash_Flow!E90-Cash_Flow!E105</f>
        <v>76441.75</v>
      </c>
      <c r="H52" s="4">
        <f>G52+Cash_Flow!F16-Cash_Flow!F90-Cash_Flow!F105</f>
        <v>79881.62875</v>
      </c>
      <c r="I52" s="4">
        <f>H52+Cash_Flow!G16-Cash_Flow!G90-Cash_Flow!G105</f>
        <v>83476.30204375001</v>
      </c>
      <c r="J52" s="4">
        <f>I52+Cash_Flow!H16-Cash_Flow!H90-Cash_Flow!H105</f>
        <v>36453.8642621188</v>
      </c>
      <c r="K52" s="4">
        <f>J52+Cash_Flow!I16-Cash_Flow!I90-Cash_Flow!I105</f>
        <v>5.820766091346741E-11</v>
      </c>
      <c r="L52" s="4">
        <f>K52+Cash_Flow!J16-Cash_Flow!J90-Cash_Flow!J105</f>
        <v>-5.820766091346741E-11</v>
      </c>
      <c r="M52" s="4">
        <f>L52+Cash_Flow!K16-Cash_Flow!K90-Cash_Flow!K105</f>
        <v>-3.4924596548080444E-10</v>
      </c>
      <c r="N52" s="4">
        <f>M52+Cash_Flow!L16-Cash_Flow!L90-Cash_Flow!L105</f>
        <v>-8.731149137020111E-10</v>
      </c>
      <c r="O52" s="4">
        <f>N52+Cash_Flow!M16-Cash_Flow!M90-Cash_Flow!M105</f>
        <v>-1.57160684466362E-09</v>
      </c>
    </row>
    <row r="53" spans="1:15" ht="12.75">
      <c r="A53" s="10" t="str">
        <f>Input!A33</f>
        <v>Seller Notes</v>
      </c>
      <c r="C53" s="4">
        <v>0</v>
      </c>
      <c r="D53" s="4">
        <f>Input!C33</f>
        <v>25000</v>
      </c>
      <c r="E53" s="4">
        <f t="shared" si="8"/>
        <v>25000</v>
      </c>
      <c r="F53" s="4">
        <f>E53+Cash_Flow!D17-Cash_Flow!D91-Cash_Flow!D106</f>
        <v>22680.1760498808</v>
      </c>
      <c r="G53" s="4">
        <f>F53+Cash_Flow!E17-Cash_Flow!E91-Cash_Flow!E106</f>
        <v>20235.278151231425</v>
      </c>
      <c r="H53" s="4">
        <f>G53+Cash_Flow!F17-Cash_Flow!F91-Cash_Flow!F106</f>
        <v>17658.5629075971</v>
      </c>
      <c r="I53" s="4">
        <f>H53+Cash_Flow!G17-Cash_Flow!G91-Cash_Flow!G106</f>
        <v>14942.923350442057</v>
      </c>
      <c r="J53" s="4">
        <f>I53+Cash_Flow!H17-Cash_Flow!H91-Cash_Flow!H106</f>
        <v>12080.869337060427</v>
      </c>
      <c r="K53" s="4">
        <f>J53+Cash_Flow!I17-Cash_Flow!I91-Cash_Flow!I106</f>
        <v>0</v>
      </c>
      <c r="L53" s="4">
        <f>K53+Cash_Flow!J17-Cash_Flow!J91-Cash_Flow!J106</f>
        <v>0</v>
      </c>
      <c r="M53" s="4">
        <f>L53+Cash_Flow!K17-Cash_Flow!K91-Cash_Flow!K106</f>
        <v>0</v>
      </c>
      <c r="N53" s="4">
        <f>M53+Cash_Flow!L17-Cash_Flow!L91-Cash_Flow!L106</f>
        <v>0</v>
      </c>
      <c r="O53" s="4">
        <f>N53+Cash_Flow!M17-Cash_Flow!M91-Cash_Flow!M106</f>
        <v>0</v>
      </c>
    </row>
    <row r="54" spans="1:15" ht="12.75">
      <c r="A54" s="2" t="s">
        <v>11</v>
      </c>
      <c r="C54" s="4">
        <f>SUM(C46:C53)</f>
        <v>250000</v>
      </c>
      <c r="D54" s="4"/>
      <c r="E54" s="4">
        <f aca="true" t="shared" si="9" ref="E54:O54">SUM(E46:E53)</f>
        <v>600887.5</v>
      </c>
      <c r="F54" s="4">
        <f t="shared" si="9"/>
        <v>596678.385816351</v>
      </c>
      <c r="G54" s="4">
        <f t="shared" si="9"/>
        <v>526692.0317051096</v>
      </c>
      <c r="H54" s="4">
        <f t="shared" si="9"/>
        <v>450748.36036665476</v>
      </c>
      <c r="I54" s="4">
        <f t="shared" si="9"/>
        <v>365409.5946966853</v>
      </c>
      <c r="J54" s="4">
        <f t="shared" si="9"/>
        <v>264151.69906899653</v>
      </c>
      <c r="K54" s="4">
        <f t="shared" si="9"/>
        <v>161317.43874898413</v>
      </c>
      <c r="L54" s="4">
        <f t="shared" si="9"/>
        <v>57619.31124514397</v>
      </c>
      <c r="M54" s="4">
        <f t="shared" si="9"/>
        <v>-2.3283064365386963E-10</v>
      </c>
      <c r="N54" s="4">
        <f t="shared" si="9"/>
        <v>-3.4924596548080444E-10</v>
      </c>
      <c r="O54" s="4">
        <f t="shared" si="9"/>
        <v>-1.3969838619232178E-09</v>
      </c>
    </row>
    <row r="55" spans="1:15" ht="12.75">
      <c r="A55" s="2"/>
      <c r="C55" s="4"/>
      <c r="D55" s="4"/>
      <c r="E55" s="4"/>
      <c r="F55" s="4"/>
      <c r="G55" s="4"/>
      <c r="H55" s="4"/>
      <c r="I55" s="4"/>
      <c r="J55" s="4"/>
      <c r="K55" s="4"/>
      <c r="L55" s="4"/>
      <c r="M55" s="4"/>
      <c r="N55" s="4"/>
      <c r="O55" s="4"/>
    </row>
    <row r="56" spans="1:15" ht="12.75">
      <c r="A56" s="6" t="s">
        <v>192</v>
      </c>
      <c r="C56" s="4">
        <f>SUM(C44,C54)</f>
        <v>251400</v>
      </c>
      <c r="D56" s="4"/>
      <c r="E56" s="4">
        <f>SUM(E44,E54)</f>
        <v>602165</v>
      </c>
      <c r="F56" s="4">
        <f aca="true" t="shared" si="10" ref="F56:O56">SUM(F44,F54)</f>
        <v>602551.1758163511</v>
      </c>
      <c r="G56" s="4">
        <f t="shared" si="10"/>
        <v>532811.3617051096</v>
      </c>
      <c r="H56" s="4">
        <f t="shared" si="10"/>
        <v>457114.2303666547</v>
      </c>
      <c r="I56" s="4">
        <f t="shared" si="10"/>
        <v>374055.4769189075</v>
      </c>
      <c r="J56" s="4">
        <f t="shared" si="10"/>
        <v>284454.7351801076</v>
      </c>
      <c r="K56" s="4">
        <f t="shared" si="10"/>
        <v>193295.1287489841</v>
      </c>
      <c r="L56" s="4">
        <f t="shared" si="10"/>
        <v>110456.23846736619</v>
      </c>
      <c r="M56" s="4">
        <f t="shared" si="10"/>
        <v>106242.26139611093</v>
      </c>
      <c r="N56" s="4">
        <f t="shared" si="10"/>
        <v>144024.38306999975</v>
      </c>
      <c r="O56" s="4">
        <f t="shared" si="10"/>
        <v>139034.9505688876</v>
      </c>
    </row>
    <row r="57" spans="3:15" ht="12.75">
      <c r="C57" s="4"/>
      <c r="D57" s="4"/>
      <c r="E57" s="4"/>
      <c r="F57" s="4"/>
      <c r="G57" s="4"/>
      <c r="H57" s="4"/>
      <c r="I57" s="4"/>
      <c r="J57" s="4"/>
      <c r="K57" s="4"/>
      <c r="L57" s="4"/>
      <c r="M57" s="4"/>
      <c r="N57" s="4"/>
      <c r="O57" s="4"/>
    </row>
    <row r="58" spans="1:15" ht="12.75">
      <c r="A58" s="2" t="s">
        <v>26</v>
      </c>
      <c r="C58" s="4">
        <f>SUM(C42,C56)</f>
        <v>349200</v>
      </c>
      <c r="D58" s="4"/>
      <c r="E58" s="4">
        <f>SUM(E42,E56)</f>
        <v>699965</v>
      </c>
      <c r="F58" s="4">
        <f aca="true" t="shared" si="11" ref="F58:O58">SUM(F42,F56)</f>
        <v>831251.3258163511</v>
      </c>
      <c r="G58" s="4">
        <f t="shared" si="11"/>
        <v>790009.6213751095</v>
      </c>
      <c r="H58" s="4">
        <f t="shared" si="11"/>
        <v>744550.5290776594</v>
      </c>
      <c r="I58" s="4">
        <f t="shared" si="11"/>
        <v>695299.5554369757</v>
      </c>
      <c r="J58" s="4">
        <f t="shared" si="11"/>
        <v>643499.8057774205</v>
      </c>
      <c r="K58" s="4">
        <f t="shared" si="11"/>
        <v>594608.4029952139</v>
      </c>
      <c r="L58" s="4">
        <f t="shared" si="11"/>
        <v>559035.5267118493</v>
      </c>
      <c r="M58" s="4">
        <f t="shared" si="11"/>
        <v>607679.3799679682</v>
      </c>
      <c r="N58" s="4">
        <f t="shared" si="11"/>
        <v>704576.1954272728</v>
      </c>
      <c r="O58" s="4">
        <f t="shared" si="11"/>
        <v>765702.9700383961</v>
      </c>
    </row>
    <row r="59" spans="3:15" ht="12.75">
      <c r="C59" s="4"/>
      <c r="D59" s="4"/>
      <c r="E59" s="4"/>
      <c r="F59" s="4"/>
      <c r="G59" s="4"/>
      <c r="H59" s="4"/>
      <c r="I59" s="4"/>
      <c r="J59" s="4"/>
      <c r="K59" s="4"/>
      <c r="L59" s="4"/>
      <c r="M59" s="4"/>
      <c r="N59" s="4"/>
      <c r="O59" s="4"/>
    </row>
    <row r="60" spans="1:15" ht="12.75">
      <c r="A60" s="6" t="s">
        <v>123</v>
      </c>
      <c r="C60" s="4"/>
      <c r="D60" s="4"/>
      <c r="E60" s="4"/>
      <c r="F60" s="4"/>
      <c r="G60" s="4"/>
      <c r="H60" s="4"/>
      <c r="I60" s="4"/>
      <c r="J60" s="4"/>
      <c r="K60" s="4"/>
      <c r="L60" s="4"/>
      <c r="M60" s="4"/>
      <c r="N60" s="4"/>
      <c r="O60" s="4"/>
    </row>
    <row r="61" spans="1:15" ht="12.75">
      <c r="A61" s="20" t="str">
        <f>Input!A35</f>
        <v>Preferred Stock</v>
      </c>
      <c r="C61" s="4">
        <v>0</v>
      </c>
      <c r="D61" s="4">
        <f>Input!C35</f>
        <v>60000</v>
      </c>
      <c r="E61" s="4">
        <f>SUM(C61:D61)</f>
        <v>60000</v>
      </c>
      <c r="F61" s="4">
        <f>E61+Cash_Flow!D18-Cash_Flow!D92</f>
        <v>64200</v>
      </c>
      <c r="G61" s="4">
        <f>F61+Cash_Flow!E18-Cash_Flow!E92</f>
        <v>68694</v>
      </c>
      <c r="H61" s="4">
        <f>G61+Cash_Flow!F18-Cash_Flow!F92</f>
        <v>73502.58</v>
      </c>
      <c r="I61" s="4">
        <f>H61+Cash_Flow!G18-Cash_Flow!G92</f>
        <v>78647.76060000001</v>
      </c>
      <c r="J61" s="4">
        <f>I61+Cash_Flow!H18-Cash_Flow!H92</f>
        <v>84153.10384200001</v>
      </c>
      <c r="K61" s="4">
        <f>J61+Cash_Flow!I18-Cash_Flow!I92</f>
        <v>84153.10384200001</v>
      </c>
      <c r="L61" s="4">
        <f>K61+Cash_Flow!J18-Cash_Flow!J92</f>
        <v>84153.10384200001</v>
      </c>
      <c r="M61" s="4">
        <f>L61+Cash_Flow!K18-Cash_Flow!K92</f>
        <v>84153.10384200001</v>
      </c>
      <c r="N61" s="4">
        <f>M61+Cash_Flow!L18-Cash_Flow!L92</f>
        <v>84153.10384200001</v>
      </c>
      <c r="O61" s="4">
        <f>N61+Cash_Flow!M18-Cash_Flow!M92</f>
        <v>84153.10384200001</v>
      </c>
    </row>
    <row r="62" spans="1:15" ht="12.75">
      <c r="A62" s="10" t="s">
        <v>307</v>
      </c>
      <c r="C62" s="138">
        <v>440000</v>
      </c>
      <c r="D62" s="4">
        <f>-C62+SUM(Input!C37:C39)</f>
        <v>-155000</v>
      </c>
      <c r="E62" s="4">
        <f>SUM(C62:D62)</f>
        <v>285000</v>
      </c>
      <c r="F62" s="4">
        <f>E62</f>
        <v>285000</v>
      </c>
      <c r="G62" s="4">
        <f>F62</f>
        <v>285000</v>
      </c>
      <c r="H62" s="4">
        <f aca="true" t="shared" si="12" ref="H62:O62">G62</f>
        <v>285000</v>
      </c>
      <c r="I62" s="4">
        <f t="shared" si="12"/>
        <v>285000</v>
      </c>
      <c r="J62" s="4">
        <f t="shared" si="12"/>
        <v>285000</v>
      </c>
      <c r="K62" s="4">
        <f t="shared" si="12"/>
        <v>285000</v>
      </c>
      <c r="L62" s="4">
        <f t="shared" si="12"/>
        <v>285000</v>
      </c>
      <c r="M62" s="4">
        <f t="shared" si="12"/>
        <v>285000</v>
      </c>
      <c r="N62" s="4">
        <f t="shared" si="12"/>
        <v>285000</v>
      </c>
      <c r="O62" s="4">
        <f t="shared" si="12"/>
        <v>285000</v>
      </c>
    </row>
    <row r="63" spans="1:15" ht="12.75">
      <c r="A63" s="10" t="s">
        <v>86</v>
      </c>
      <c r="C63" s="138">
        <v>24749</v>
      </c>
      <c r="D63" s="4">
        <f>-C63-Input!C16-MIN(0,Input!C53)</f>
        <v>-27249</v>
      </c>
      <c r="E63" s="4">
        <f>SUM(C63:D63)</f>
        <v>-2500</v>
      </c>
      <c r="F63" s="4">
        <f>E63+Inc_St!D49</f>
        <v>130037.72973920446</v>
      </c>
      <c r="G63" s="4">
        <f>F63+Inc_St!E49</f>
        <v>274448.6297360014</v>
      </c>
      <c r="H63" s="4">
        <f>G63+Inc_St!F49</f>
        <v>435503.48635607376</v>
      </c>
      <c r="I63" s="4">
        <f>H63+Inc_St!G49</f>
        <v>614883.7978411474</v>
      </c>
      <c r="J63" s="4">
        <f>I63+Inc_St!H49</f>
        <v>811203.246297643</v>
      </c>
      <c r="K63" s="4">
        <f>J63+Inc_St!I49</f>
        <v>1029603.137504862</v>
      </c>
      <c r="L63" s="4">
        <f>K63+Inc_St!J49</f>
        <v>1299064.2178389928</v>
      </c>
      <c r="M63" s="4">
        <f>L63+Inc_St!K49</f>
        <v>1593876.8171535542</v>
      </c>
      <c r="N63" s="4">
        <f>M63+Inc_St!L49</f>
        <v>1917400.2195589044</v>
      </c>
      <c r="O63" s="4">
        <f>N63+Inc_St!M49</f>
        <v>2265129.374369923</v>
      </c>
    </row>
    <row r="64" spans="3:15" ht="12.75">
      <c r="C64" s="4"/>
      <c r="D64" s="4"/>
      <c r="E64" s="4"/>
      <c r="F64" s="4"/>
      <c r="G64" s="4"/>
      <c r="H64" s="4"/>
      <c r="I64" s="4"/>
      <c r="J64" s="4"/>
      <c r="K64" s="4"/>
      <c r="L64" s="4"/>
      <c r="M64" s="4"/>
      <c r="N64" s="4"/>
      <c r="O64" s="4"/>
    </row>
    <row r="65" spans="1:15" ht="12.75">
      <c r="A65" s="6" t="s">
        <v>125</v>
      </c>
      <c r="C65" s="4">
        <f>SUM(C61:C63)</f>
        <v>464749</v>
      </c>
      <c r="D65" s="4"/>
      <c r="E65" s="4">
        <f>SUM(E61:E63)</f>
        <v>342500</v>
      </c>
      <c r="F65" s="4">
        <f aca="true" t="shared" si="13" ref="F65:O65">SUM(F61:F63)</f>
        <v>479237.72973920446</v>
      </c>
      <c r="G65" s="4">
        <f t="shared" si="13"/>
        <v>628142.6297360014</v>
      </c>
      <c r="H65" s="4">
        <f t="shared" si="13"/>
        <v>794006.0663560738</v>
      </c>
      <c r="I65" s="4">
        <f t="shared" si="13"/>
        <v>978531.5584411474</v>
      </c>
      <c r="J65" s="4">
        <f t="shared" si="13"/>
        <v>1180356.350139643</v>
      </c>
      <c r="K65" s="4">
        <f t="shared" si="13"/>
        <v>1398756.2413468622</v>
      </c>
      <c r="L65" s="4">
        <f t="shared" si="13"/>
        <v>1668217.3216809928</v>
      </c>
      <c r="M65" s="4">
        <f t="shared" si="13"/>
        <v>1963029.9209955542</v>
      </c>
      <c r="N65" s="4">
        <f t="shared" si="13"/>
        <v>2286553.3234009044</v>
      </c>
      <c r="O65" s="4">
        <f t="shared" si="13"/>
        <v>2634282.478211923</v>
      </c>
    </row>
    <row r="66" spans="3:15" ht="12.75">
      <c r="C66" s="4"/>
      <c r="D66" s="4"/>
      <c r="E66" s="4"/>
      <c r="F66" s="4"/>
      <c r="G66" s="4"/>
      <c r="H66" s="4"/>
      <c r="I66" s="4"/>
      <c r="J66" s="4"/>
      <c r="K66" s="4"/>
      <c r="L66" s="4"/>
      <c r="M66" s="4"/>
      <c r="N66" s="4"/>
      <c r="O66" s="4"/>
    </row>
    <row r="67" spans="1:15" ht="12.75">
      <c r="A67" s="9" t="s">
        <v>27</v>
      </c>
      <c r="C67" s="12">
        <f>SUM(C58,C65)</f>
        <v>813949</v>
      </c>
      <c r="D67" s="12">
        <f>SUM(D38:D66)</f>
        <v>228516</v>
      </c>
      <c r="E67" s="12">
        <f>SUM(E58,E65)</f>
        <v>1042465</v>
      </c>
      <c r="F67" s="12">
        <f aca="true" t="shared" si="14" ref="F67:O67">SUM(F58,F65)</f>
        <v>1310489.0555555555</v>
      </c>
      <c r="G67" s="12">
        <f t="shared" si="14"/>
        <v>1418152.251111111</v>
      </c>
      <c r="H67" s="12">
        <f t="shared" si="14"/>
        <v>1538556.5954337332</v>
      </c>
      <c r="I67" s="12">
        <f t="shared" si="14"/>
        <v>1673831.113878123</v>
      </c>
      <c r="J67" s="12">
        <f t="shared" si="14"/>
        <v>1823856.1559170636</v>
      </c>
      <c r="K67" s="12">
        <f t="shared" si="14"/>
        <v>1993364.644342076</v>
      </c>
      <c r="L67" s="12">
        <f t="shared" si="14"/>
        <v>2227252.8483928423</v>
      </c>
      <c r="M67" s="12">
        <f t="shared" si="14"/>
        <v>2570709.3009635224</v>
      </c>
      <c r="N67" s="12">
        <f t="shared" si="14"/>
        <v>2991129.5188281774</v>
      </c>
      <c r="O67" s="12">
        <f t="shared" si="14"/>
        <v>3399985.448250319</v>
      </c>
    </row>
    <row r="68" spans="3:15" ht="12.75">
      <c r="C68" s="4"/>
      <c r="D68" s="4"/>
      <c r="E68" s="4"/>
      <c r="F68" s="4"/>
      <c r="G68" s="4"/>
      <c r="H68" s="4"/>
      <c r="I68" s="4"/>
      <c r="J68" s="4"/>
      <c r="K68" s="4"/>
      <c r="L68" s="4"/>
      <c r="M68" s="4"/>
      <c r="N68" s="4"/>
      <c r="O68" s="4"/>
    </row>
    <row r="69" spans="3:15" ht="12.75">
      <c r="C69" s="4"/>
      <c r="D69" s="4"/>
      <c r="E69" s="4"/>
      <c r="F69" s="4"/>
      <c r="G69" s="4"/>
      <c r="H69" s="4"/>
      <c r="I69" s="4"/>
      <c r="J69" s="4"/>
      <c r="K69" s="4"/>
      <c r="L69" s="4"/>
      <c r="M69" s="4"/>
      <c r="N69" s="4"/>
      <c r="O69" s="4"/>
    </row>
    <row r="70" spans="1:15" ht="12.75">
      <c r="A70" s="287" t="s">
        <v>12</v>
      </c>
      <c r="C70" s="4">
        <f>C32-C67</f>
        <v>0</v>
      </c>
      <c r="D70" s="4">
        <f>D32-D67</f>
        <v>0</v>
      </c>
      <c r="E70" s="4">
        <f aca="true" t="shared" si="15" ref="E70:O70">E32-E67</f>
        <v>0</v>
      </c>
      <c r="F70" s="4">
        <f t="shared" si="15"/>
        <v>0</v>
      </c>
      <c r="G70" s="4">
        <f t="shared" si="15"/>
        <v>0</v>
      </c>
      <c r="H70" s="4">
        <f t="shared" si="15"/>
        <v>0</v>
      </c>
      <c r="I70" s="4">
        <f t="shared" si="15"/>
        <v>0</v>
      </c>
      <c r="J70" s="4">
        <f t="shared" si="15"/>
        <v>0</v>
      </c>
      <c r="K70" s="4">
        <f t="shared" si="15"/>
        <v>0</v>
      </c>
      <c r="L70" s="4">
        <f t="shared" si="15"/>
        <v>0</v>
      </c>
      <c r="M70" s="4">
        <f t="shared" si="15"/>
        <v>0</v>
      </c>
      <c r="N70" s="4">
        <f t="shared" si="15"/>
        <v>0</v>
      </c>
      <c r="O70" s="4">
        <f t="shared" si="15"/>
        <v>0</v>
      </c>
    </row>
    <row r="71" spans="1:15" ht="12.75">
      <c r="A71" s="2"/>
      <c r="C71" s="4"/>
      <c r="D71" s="4"/>
      <c r="E71" s="4"/>
      <c r="F71" s="4"/>
      <c r="G71" s="4"/>
      <c r="H71" s="4"/>
      <c r="I71" s="4"/>
      <c r="J71" s="4"/>
      <c r="K71" s="4"/>
      <c r="L71" s="4"/>
      <c r="M71" s="4"/>
      <c r="N71" s="4"/>
      <c r="O71" s="4"/>
    </row>
    <row r="72" spans="3:15" ht="12.75">
      <c r="C72" s="4"/>
      <c r="D72" s="4"/>
      <c r="E72" s="4"/>
      <c r="F72" s="4"/>
      <c r="G72" s="4"/>
      <c r="H72" s="4"/>
      <c r="I72" s="4"/>
      <c r="J72" s="4"/>
      <c r="K72" s="4"/>
      <c r="L72" s="4"/>
      <c r="M72" s="4"/>
      <c r="N72" s="4"/>
      <c r="O72" s="4"/>
    </row>
    <row r="73" spans="3:15" ht="12.75">
      <c r="C73" s="4"/>
      <c r="D73" s="4"/>
      <c r="E73" s="4"/>
      <c r="F73" s="4"/>
      <c r="G73" s="4"/>
      <c r="H73" s="4"/>
      <c r="I73" s="4"/>
      <c r="J73" s="4"/>
      <c r="K73" s="4"/>
      <c r="L73" s="4"/>
      <c r="M73" s="4"/>
      <c r="N73" s="4"/>
      <c r="O73" s="4"/>
    </row>
    <row r="74" spans="3:15" ht="12.75">
      <c r="C74" s="8"/>
      <c r="D74" s="8"/>
      <c r="E74" s="4"/>
      <c r="F74" s="4"/>
      <c r="G74" s="4"/>
      <c r="H74" s="4"/>
      <c r="I74" s="4"/>
      <c r="J74" s="4"/>
      <c r="K74" s="4"/>
      <c r="L74" s="4"/>
      <c r="M74" s="4"/>
      <c r="N74" s="4"/>
      <c r="O74" s="4"/>
    </row>
    <row r="75" spans="3:15" ht="12.75">
      <c r="C75" s="8"/>
      <c r="D75" s="8"/>
      <c r="E75" s="8"/>
      <c r="F75" s="4"/>
      <c r="G75" s="4"/>
      <c r="H75" s="4"/>
      <c r="I75" s="4"/>
      <c r="J75" s="4"/>
      <c r="K75" s="4"/>
      <c r="L75" s="4"/>
      <c r="M75" s="4"/>
      <c r="N75" s="4"/>
      <c r="O75" s="4"/>
    </row>
    <row r="76" spans="3:15" ht="12.75">
      <c r="C76" s="8"/>
      <c r="D76" s="8"/>
      <c r="E76" s="8"/>
      <c r="F76" s="4"/>
      <c r="G76" s="4"/>
      <c r="H76" s="4"/>
      <c r="I76" s="4"/>
      <c r="J76" s="4"/>
      <c r="K76" s="4"/>
      <c r="L76" s="4"/>
      <c r="M76" s="4"/>
      <c r="N76" s="4"/>
      <c r="O76" s="4"/>
    </row>
    <row r="77" spans="3:15" ht="12.75">
      <c r="C77" s="8"/>
      <c r="D77" s="8"/>
      <c r="E77" s="8"/>
      <c r="F77" s="4"/>
      <c r="G77" s="4"/>
      <c r="H77" s="4"/>
      <c r="I77" s="4"/>
      <c r="J77" s="4"/>
      <c r="K77" s="4"/>
      <c r="L77" s="4"/>
      <c r="M77" s="4"/>
      <c r="N77" s="4"/>
      <c r="O77" s="4"/>
    </row>
    <row r="78" spans="3:15" ht="12.75">
      <c r="C78" s="8"/>
      <c r="D78" s="8"/>
      <c r="E78" s="8"/>
      <c r="F78" s="4"/>
      <c r="G78" s="4"/>
      <c r="H78" s="4"/>
      <c r="I78" s="4"/>
      <c r="J78" s="4"/>
      <c r="K78" s="4"/>
      <c r="L78" s="4"/>
      <c r="M78" s="4"/>
      <c r="N78" s="4"/>
      <c r="O78" s="4"/>
    </row>
    <row r="79" spans="3:15" ht="12.75">
      <c r="C79" s="8"/>
      <c r="D79" s="8"/>
      <c r="E79" s="8"/>
      <c r="F79" s="4"/>
      <c r="G79" s="4"/>
      <c r="H79" s="4"/>
      <c r="I79" s="4"/>
      <c r="J79" s="4"/>
      <c r="K79" s="4"/>
      <c r="L79" s="4"/>
      <c r="M79" s="4"/>
      <c r="N79" s="4"/>
      <c r="O79" s="4"/>
    </row>
    <row r="80" spans="3:15" ht="12.75">
      <c r="C80" s="8"/>
      <c r="D80" s="8"/>
      <c r="E80" s="8"/>
      <c r="F80" s="4"/>
      <c r="G80" s="4"/>
      <c r="H80" s="4"/>
      <c r="I80" s="4"/>
      <c r="J80" s="4"/>
      <c r="K80" s="4"/>
      <c r="L80" s="4"/>
      <c r="M80" s="4"/>
      <c r="N80" s="4"/>
      <c r="O80" s="4"/>
    </row>
    <row r="81" spans="3:15" ht="12.75">
      <c r="C81" s="8"/>
      <c r="D81" s="8"/>
      <c r="E81" s="8"/>
      <c r="F81" s="4"/>
      <c r="G81" s="4"/>
      <c r="H81" s="4"/>
      <c r="I81" s="4"/>
      <c r="J81" s="4"/>
      <c r="K81" s="4"/>
      <c r="L81" s="4"/>
      <c r="M81" s="4"/>
      <c r="N81" s="4"/>
      <c r="O81" s="4"/>
    </row>
    <row r="82" spans="3:15" ht="12.75">
      <c r="C82" s="8"/>
      <c r="D82" s="8"/>
      <c r="E82" s="8"/>
      <c r="F82" s="4"/>
      <c r="G82" s="4"/>
      <c r="H82" s="4"/>
      <c r="I82" s="4"/>
      <c r="J82" s="4"/>
      <c r="K82" s="4"/>
      <c r="L82" s="4"/>
      <c r="M82" s="4"/>
      <c r="N82" s="4"/>
      <c r="O82" s="4"/>
    </row>
    <row r="83" spans="3:15" ht="12.75">
      <c r="C83" s="8"/>
      <c r="D83" s="8"/>
      <c r="E83" s="8"/>
      <c r="F83" s="4"/>
      <c r="G83" s="4"/>
      <c r="H83" s="4"/>
      <c r="I83" s="4"/>
      <c r="J83" s="4"/>
      <c r="K83" s="4"/>
      <c r="L83" s="4"/>
      <c r="M83" s="4"/>
      <c r="N83" s="4"/>
      <c r="O83" s="4"/>
    </row>
    <row r="84" spans="3:15" ht="12.75">
      <c r="C84" s="8"/>
      <c r="D84" s="8"/>
      <c r="E84" s="8"/>
      <c r="F84" s="4"/>
      <c r="G84" s="4"/>
      <c r="H84" s="4"/>
      <c r="I84" s="4"/>
      <c r="J84" s="4"/>
      <c r="K84" s="4"/>
      <c r="L84" s="4"/>
      <c r="M84" s="4"/>
      <c r="N84" s="4"/>
      <c r="O84" s="4"/>
    </row>
    <row r="85" spans="3:15" ht="12.75">
      <c r="C85" s="8"/>
      <c r="D85" s="8"/>
      <c r="E85" s="8"/>
      <c r="F85" s="4"/>
      <c r="G85" s="4"/>
      <c r="H85" s="4"/>
      <c r="I85" s="4"/>
      <c r="J85" s="4"/>
      <c r="K85" s="4"/>
      <c r="L85" s="4"/>
      <c r="M85" s="4"/>
      <c r="N85" s="4"/>
      <c r="O85" s="4"/>
    </row>
    <row r="86" spans="3:15" ht="12.75">
      <c r="C86" s="8"/>
      <c r="D86" s="8"/>
      <c r="E86" s="8"/>
      <c r="F86" s="4"/>
      <c r="G86" s="4"/>
      <c r="H86" s="4"/>
      <c r="I86" s="4"/>
      <c r="J86" s="4"/>
      <c r="K86" s="4"/>
      <c r="L86" s="4"/>
      <c r="M86" s="4"/>
      <c r="N86" s="4"/>
      <c r="O86" s="4"/>
    </row>
    <row r="87" spans="3:15" ht="12.75">
      <c r="C87" s="8"/>
      <c r="D87" s="8"/>
      <c r="E87" s="8"/>
      <c r="F87" s="4"/>
      <c r="G87" s="4"/>
      <c r="H87" s="4"/>
      <c r="I87" s="4"/>
      <c r="J87" s="4"/>
      <c r="K87" s="4"/>
      <c r="L87" s="4"/>
      <c r="M87" s="4"/>
      <c r="N87" s="4"/>
      <c r="O87" s="4"/>
    </row>
    <row r="88" spans="3:15" ht="12.75">
      <c r="C88" s="8"/>
      <c r="D88" s="8"/>
      <c r="E88" s="8"/>
      <c r="F88" s="4"/>
      <c r="G88" s="4"/>
      <c r="H88" s="4"/>
      <c r="I88" s="4"/>
      <c r="J88" s="4"/>
      <c r="K88" s="4"/>
      <c r="L88" s="4"/>
      <c r="M88" s="4"/>
      <c r="N88" s="4"/>
      <c r="O88" s="4"/>
    </row>
    <row r="89" spans="3:15" ht="12.75">
      <c r="C89" s="8"/>
      <c r="D89" s="8"/>
      <c r="E89" s="8"/>
      <c r="F89" s="4"/>
      <c r="G89" s="4"/>
      <c r="H89" s="4"/>
      <c r="I89" s="4"/>
      <c r="J89" s="4"/>
      <c r="K89" s="4"/>
      <c r="L89" s="4"/>
      <c r="M89" s="4"/>
      <c r="N89" s="4"/>
      <c r="O89" s="4"/>
    </row>
    <row r="90" spans="6:15" ht="12.75">
      <c r="F90" s="4"/>
      <c r="G90" s="4"/>
      <c r="H90" s="4"/>
      <c r="I90" s="4"/>
      <c r="J90" s="4"/>
      <c r="K90" s="4"/>
      <c r="L90" s="4"/>
      <c r="M90" s="4"/>
      <c r="N90" s="4"/>
      <c r="O90" s="4"/>
    </row>
    <row r="91" spans="6:15" ht="12.75">
      <c r="F91" s="4"/>
      <c r="G91" s="4"/>
      <c r="H91" s="4"/>
      <c r="I91" s="4"/>
      <c r="J91" s="4"/>
      <c r="K91" s="4"/>
      <c r="L91" s="4"/>
      <c r="M91" s="4"/>
      <c r="N91" s="4"/>
      <c r="O91" s="4"/>
    </row>
  </sheetData>
  <sheetProtection/>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X316"/>
  <sheetViews>
    <sheetView zoomScalePageLayoutView="0" workbookViewId="0" topLeftCell="A1">
      <pane xSplit="3" ySplit="5" topLeftCell="D31" activePane="bottomRight" state="frozen"/>
      <selection pane="topLeft" activeCell="A1" sqref="A1"/>
      <selection pane="topRight" activeCell="D1" sqref="D1"/>
      <selection pane="bottomLeft" activeCell="A6" sqref="A6"/>
      <selection pane="bottomRight" activeCell="G2" sqref="G2"/>
    </sheetView>
  </sheetViews>
  <sheetFormatPr defaultColWidth="9.140625" defaultRowHeight="12.75"/>
  <cols>
    <col min="1" max="1" width="24.00390625" style="0" customWidth="1"/>
    <col min="2" max="2" width="19.57421875" style="0" customWidth="1"/>
    <col min="3" max="3" width="3.28125" style="0" customWidth="1"/>
    <col min="4" max="13" width="10.7109375" style="0" customWidth="1"/>
    <col min="14" max="20" width="10.28125" style="0" customWidth="1"/>
  </cols>
  <sheetData>
    <row r="2" ht="15">
      <c r="A2" s="92" t="s">
        <v>47</v>
      </c>
    </row>
    <row r="4" spans="1:13" ht="12.75">
      <c r="A4" s="8" t="s">
        <v>14</v>
      </c>
      <c r="C4" s="70"/>
      <c r="D4" s="68">
        <f>year1</f>
        <v>2010</v>
      </c>
      <c r="E4" s="14">
        <f>D4+1</f>
        <v>2011</v>
      </c>
      <c r="F4" s="14">
        <f aca="true" t="shared" si="0" ref="F4:M5">E4+1</f>
        <v>2012</v>
      </c>
      <c r="G4" s="14">
        <f t="shared" si="0"/>
        <v>2013</v>
      </c>
      <c r="H4" s="14">
        <f t="shared" si="0"/>
        <v>2014</v>
      </c>
      <c r="I4" s="14">
        <f t="shared" si="0"/>
        <v>2015</v>
      </c>
      <c r="J4" s="14">
        <f t="shared" si="0"/>
        <v>2016</v>
      </c>
      <c r="K4" s="14">
        <f t="shared" si="0"/>
        <v>2017</v>
      </c>
      <c r="L4" s="14">
        <f t="shared" si="0"/>
        <v>2018</v>
      </c>
      <c r="M4" s="14">
        <f t="shared" si="0"/>
        <v>2019</v>
      </c>
    </row>
    <row r="5" spans="1:50" ht="12.75">
      <c r="A5" s="8" t="s">
        <v>70</v>
      </c>
      <c r="C5" s="70"/>
      <c r="D5" s="69">
        <v>1</v>
      </c>
      <c r="E5" s="15">
        <f>D5+1</f>
        <v>2</v>
      </c>
      <c r="F5" s="15">
        <f t="shared" si="0"/>
        <v>3</v>
      </c>
      <c r="G5" s="15">
        <f t="shared" si="0"/>
        <v>4</v>
      </c>
      <c r="H5" s="15">
        <f t="shared" si="0"/>
        <v>5</v>
      </c>
      <c r="I5" s="15">
        <f t="shared" si="0"/>
        <v>6</v>
      </c>
      <c r="J5" s="15">
        <f t="shared" si="0"/>
        <v>7</v>
      </c>
      <c r="K5" s="15">
        <f t="shared" si="0"/>
        <v>8</v>
      </c>
      <c r="L5" s="15">
        <f t="shared" si="0"/>
        <v>9</v>
      </c>
      <c r="M5" s="15">
        <f t="shared" si="0"/>
        <v>10</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12.75">
      <c r="A6" s="8"/>
      <c r="D6" s="11"/>
      <c r="E6" s="11"/>
      <c r="F6" s="11"/>
      <c r="G6" s="11"/>
      <c r="H6" s="11"/>
      <c r="I6" s="11"/>
      <c r="J6" s="11"/>
      <c r="K6" s="11"/>
      <c r="L6" s="11"/>
      <c r="M6" s="1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12.75">
      <c r="A7" s="50" t="s">
        <v>43</v>
      </c>
      <c r="C7" s="8"/>
      <c r="D7" s="3"/>
      <c r="E7" s="3"/>
      <c r="F7" s="3"/>
      <c r="G7" s="3"/>
      <c r="H7" s="3"/>
      <c r="I7" s="3"/>
      <c r="J7" s="3"/>
      <c r="K7" s="3"/>
      <c r="L7" s="3"/>
      <c r="M7" s="3"/>
      <c r="N7" s="3"/>
      <c r="O7" s="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12.75">
      <c r="A8" s="8"/>
      <c r="C8" s="8"/>
      <c r="D8" s="3"/>
      <c r="E8" s="3"/>
      <c r="F8" s="3"/>
      <c r="G8" s="3"/>
      <c r="H8" s="3"/>
      <c r="I8" s="3"/>
      <c r="J8" s="3"/>
      <c r="K8" s="3"/>
      <c r="L8" s="3"/>
      <c r="M8" s="3"/>
      <c r="N8" s="3"/>
      <c r="O8" s="3"/>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15" ht="12.75">
      <c r="A9" s="8" t="str">
        <f>Inc_St!A49</f>
        <v>Net Income to Common Shareholders</v>
      </c>
      <c r="C9" s="4"/>
      <c r="D9" s="4">
        <f>Inc_St!D49</f>
        <v>132537.72973920446</v>
      </c>
      <c r="E9" s="4">
        <f>Inc_St!E49</f>
        <v>144410.89999679697</v>
      </c>
      <c r="F9" s="4">
        <f>Inc_St!F49</f>
        <v>161054.85662007236</v>
      </c>
      <c r="G9" s="4">
        <f>Inc_St!G49</f>
        <v>179380.31148507367</v>
      </c>
      <c r="H9" s="4">
        <f>Inc_St!H49</f>
        <v>196319.44845649568</v>
      </c>
      <c r="I9" s="4">
        <f>Inc_St!I49</f>
        <v>218399.89120721899</v>
      </c>
      <c r="J9" s="4">
        <f>Inc_St!J49</f>
        <v>269461.08033413073</v>
      </c>
      <c r="K9" s="4">
        <f>Inc_St!K49</f>
        <v>294812.5993145614</v>
      </c>
      <c r="L9" s="4">
        <f>Inc_St!L49</f>
        <v>323523.4024053503</v>
      </c>
      <c r="M9" s="4">
        <f>Inc_St!M49</f>
        <v>347729.1548110188</v>
      </c>
      <c r="N9" s="4"/>
      <c r="O9" s="4"/>
    </row>
    <row r="10" spans="1:15" ht="12.75">
      <c r="A10" s="8"/>
      <c r="C10" s="4"/>
      <c r="D10" s="4"/>
      <c r="E10" s="4"/>
      <c r="F10" s="4"/>
      <c r="G10" s="4"/>
      <c r="H10" s="4"/>
      <c r="I10" s="4"/>
      <c r="J10" s="4"/>
      <c r="K10" s="4"/>
      <c r="L10" s="4"/>
      <c r="M10" s="4"/>
      <c r="N10" s="4"/>
      <c r="O10" s="4"/>
    </row>
    <row r="11" spans="1:15" ht="12.75">
      <c r="A11" s="8" t="s">
        <v>31</v>
      </c>
      <c r="C11" s="4"/>
      <c r="D11" s="4"/>
      <c r="E11" s="4"/>
      <c r="F11" s="4"/>
      <c r="G11" s="4"/>
      <c r="H11" s="4"/>
      <c r="I11" s="4"/>
      <c r="J11" s="4"/>
      <c r="K11" s="4"/>
      <c r="L11" s="4"/>
      <c r="M11" s="4"/>
      <c r="N11" s="4"/>
      <c r="O11" s="4"/>
    </row>
    <row r="12" spans="1:15" ht="12.75">
      <c r="A12" s="67" t="s">
        <v>32</v>
      </c>
      <c r="C12" s="4"/>
      <c r="D12" s="4">
        <f>Inc_St!D20</f>
        <v>72924.16666666667</v>
      </c>
      <c r="E12" s="4">
        <f>Inc_St!E20</f>
        <v>85024.16666666667</v>
      </c>
      <c r="F12" s="4">
        <f>Inc_St!F20</f>
        <v>93897.50000000001</v>
      </c>
      <c r="G12" s="4">
        <f>Inc_St!G20</f>
        <v>104355.35714285714</v>
      </c>
      <c r="H12" s="4">
        <f>Inc_St!H20</f>
        <v>117776.27380952383</v>
      </c>
      <c r="I12" s="4">
        <f>Inc_St!I20</f>
        <v>128848.53005952384</v>
      </c>
      <c r="J12" s="4">
        <f>Inc_St!J20</f>
        <v>101531.64405952384</v>
      </c>
      <c r="K12" s="4">
        <f>Inc_St!K20</f>
        <v>115822.23612619052</v>
      </c>
      <c r="L12" s="4">
        <f>Inc_St!L20</f>
        <v>128046.8002178572</v>
      </c>
      <c r="M12" s="4">
        <f>Inc_St!M20</f>
        <v>149661.32071869055</v>
      </c>
      <c r="N12" s="4"/>
      <c r="O12" s="4"/>
    </row>
    <row r="13" spans="1:15" ht="12.75">
      <c r="A13" s="67" t="s">
        <v>240</v>
      </c>
      <c r="C13" s="4"/>
      <c r="D13" s="4">
        <f>Inc_St!D36</f>
        <v>1052.7777777777778</v>
      </c>
      <c r="E13" s="4">
        <f>Inc_St!E36</f>
        <v>1052.7777777777778</v>
      </c>
      <c r="F13" s="4">
        <f>Inc_St!F36</f>
        <v>1802.7777777777776</v>
      </c>
      <c r="G13" s="4">
        <f>Inc_St!G36</f>
        <v>1515.2777777777776</v>
      </c>
      <c r="H13" s="4">
        <f>Inc_St!H36</f>
        <v>1393.0555555555554</v>
      </c>
      <c r="I13" s="4">
        <f>Inc_St!I36</f>
        <v>2270.8333333333335</v>
      </c>
      <c r="J13" s="4">
        <f>Inc_St!J36</f>
        <v>450</v>
      </c>
      <c r="K13" s="4">
        <f>Inc_St!K36</f>
        <v>450</v>
      </c>
      <c r="L13" s="4">
        <f>Inc_St!L36</f>
        <v>450</v>
      </c>
      <c r="M13" s="4">
        <f>Inc_St!M36</f>
        <v>450</v>
      </c>
      <c r="N13" s="4"/>
      <c r="O13" s="4"/>
    </row>
    <row r="14" spans="1:15" ht="12.75">
      <c r="A14" s="67" t="s">
        <v>273</v>
      </c>
      <c r="C14" s="4"/>
      <c r="D14" s="4">
        <f>Income_Tax!D30</f>
        <v>4595.289999999994</v>
      </c>
      <c r="E14" s="4">
        <f>Income_Tax!E30</f>
        <v>246.53999999997905</v>
      </c>
      <c r="F14" s="4">
        <f>Income_Tax!F30</f>
        <v>246.5399999999936</v>
      </c>
      <c r="G14" s="4">
        <f>Income_Tax!G30</f>
        <v>2280.0122222222126</v>
      </c>
      <c r="H14" s="4">
        <f>Income_Tax!H30</f>
        <v>11657.15388888889</v>
      </c>
      <c r="I14" s="4">
        <f>Income_Tax!I30</f>
        <v>11674.653888888904</v>
      </c>
      <c r="J14" s="4">
        <f>Income_Tax!J30</f>
        <v>20859.237222222248</v>
      </c>
      <c r="K14" s="4">
        <f>Income_Tax!K30</f>
        <v>53405.33417388894</v>
      </c>
      <c r="L14" s="4">
        <f>Income_Tax!L30</f>
        <v>37782.121673888934</v>
      </c>
      <c r="M14" s="4">
        <f>Income_Tax!M30</f>
        <v>-4989.432501111092</v>
      </c>
      <c r="N14" s="4"/>
      <c r="O14" s="4"/>
    </row>
    <row r="15" spans="1:15" ht="12.75">
      <c r="A15" s="67" t="str">
        <f>"Accrued Interest "&amp;Bal_Sheet!A51</f>
        <v>Accrued Interest Subordinated Notes</v>
      </c>
      <c r="C15" s="4"/>
      <c r="D15" s="137">
        <f>IF(sub_notes_years_PIK&gt;=D$5,Inc_St!D30,0)</f>
        <v>1800</v>
      </c>
      <c r="E15" s="4">
        <f>IF(sub_notes_years_PIK&gt;=E5,Inc_St!E30,0)</f>
        <v>1881</v>
      </c>
      <c r="F15" s="4">
        <f>IF(sub_notes_years_PIK&gt;=F5,Inc_St!F30,0)</f>
        <v>1965.645</v>
      </c>
      <c r="G15" s="4">
        <f>IF(sub_notes_years_PIK&gt;=G5,Inc_St!G30,0)</f>
        <v>2054.099025</v>
      </c>
      <c r="H15" s="4">
        <f>IF(sub_notes_years_PIK&gt;=H5,Inc_St!H30,0)</f>
        <v>2146.533481125</v>
      </c>
      <c r="I15" s="4">
        <f>IF(sub_notes_years_PIK&gt;=I5,Inc_St!I30,0)</f>
        <v>0</v>
      </c>
      <c r="J15" s="4">
        <f>IF(sub_notes_years_PIK&gt;=J5,Inc_St!J30,0)</f>
        <v>0</v>
      </c>
      <c r="K15" s="4">
        <f>IF(sub_notes_years_PIK&gt;=K5,Inc_St!K30,0)</f>
        <v>0</v>
      </c>
      <c r="L15" s="4">
        <f>IF(sub_notes_years_PIK&gt;=L5,Inc_St!L30,0)</f>
        <v>0</v>
      </c>
      <c r="M15" s="4">
        <f>IF(sub_notes_years_PIK&gt;=M5,Inc_St!M30,0)</f>
        <v>0</v>
      </c>
      <c r="N15" s="4"/>
      <c r="O15" s="4"/>
    </row>
    <row r="16" spans="1:15" ht="12.75">
      <c r="A16" s="67" t="str">
        <f>"Accrued Interest "&amp;Bal_Sheet!A52</f>
        <v>Accrued Interest Mezzanine Debt</v>
      </c>
      <c r="C16" s="4"/>
      <c r="D16" s="137">
        <f>IF(mezzdebt_years_PIK&gt;=D$5,Inc_St!D31,0)</f>
        <v>3150</v>
      </c>
      <c r="E16" s="137">
        <f>IF(mezzdebt_years_PIK&gt;=E$5,Inc_St!E31,0)</f>
        <v>3291.75</v>
      </c>
      <c r="F16" s="137">
        <f>IF(mezzdebt_years_PIK&gt;=F$5,Inc_St!F31,0)</f>
        <v>3439.87875</v>
      </c>
      <c r="G16" s="137">
        <f>IF(mezzdebt_years_PIK&gt;=G$5,Inc_St!G31,0)</f>
        <v>3594.67329375</v>
      </c>
      <c r="H16" s="137">
        <f>IF(mezzdebt_years_PIK&gt;=H$5,Inc_St!H31,0)</f>
        <v>3756.43359196875</v>
      </c>
      <c r="I16" s="137">
        <f>IF(mezzdebt_years_PIK&gt;=I$5,Inc_St!I31,0)</f>
        <v>0</v>
      </c>
      <c r="J16" s="137">
        <f>IF(mezzdebt_years_PIK&gt;=J$5,Inc_St!J31,0)</f>
        <v>0</v>
      </c>
      <c r="K16" s="137">
        <f>IF(mezzdebt_years_PIK&gt;=K$5,Inc_St!K31,0)</f>
        <v>0</v>
      </c>
      <c r="L16" s="137">
        <f>IF(mezzdebt_years_PIK&gt;=L$5,Inc_St!L31,0)</f>
        <v>0</v>
      </c>
      <c r="M16" s="137">
        <f>IF(mezzdebt_years_PIK&gt;=M$5,Inc_St!M31,0)</f>
        <v>0</v>
      </c>
      <c r="N16" s="4"/>
      <c r="O16" s="4"/>
    </row>
    <row r="17" spans="1:15" ht="12.75">
      <c r="A17" s="67" t="str">
        <f>"Accrued Interest "&amp;Bal_Sheet!A53</f>
        <v>Accrued Interest Seller Notes</v>
      </c>
      <c r="C17" s="4"/>
      <c r="D17" s="137">
        <f>IF(seller_notes_years_PIK&gt;=D$5,Inc_St!D32,0)</f>
        <v>1251.604621309371</v>
      </c>
      <c r="E17" s="137">
        <f>IF(seller_notes_years_PIK&gt;=E$5,Inc_St!E32,0)</f>
        <v>1126.5306727791958</v>
      </c>
      <c r="F17" s="137">
        <f>IF(seller_notes_years_PIK&gt;=F$5,Inc_St!F32,0)</f>
        <v>994.7133277942488</v>
      </c>
      <c r="G17" s="137">
        <f>IF(seller_notes_years_PIK&gt;=G$5,Inc_St!G32,0)</f>
        <v>855.7890142735279</v>
      </c>
      <c r="H17" s="137">
        <f>IF(seller_notes_years_PIK&gt;=H$5,Inc_St!H32,0)</f>
        <v>709.3745580469403</v>
      </c>
      <c r="I17" s="137">
        <f>IF(seller_notes_years_PIK&gt;=I$5,Inc_St!I32,0)</f>
        <v>0</v>
      </c>
      <c r="J17" s="137">
        <f>IF(seller_notes_years_PIK&gt;=J$5,Inc_St!J32,0)</f>
        <v>0</v>
      </c>
      <c r="K17" s="137">
        <f>IF(seller_notes_years_PIK&gt;=K$5,Inc_St!K32,0)</f>
        <v>0</v>
      </c>
      <c r="L17" s="137">
        <f>IF(seller_notes_years_PIK&gt;=L$5,Inc_St!L32,0)</f>
        <v>0</v>
      </c>
      <c r="M17" s="137">
        <f>IF(seller_notes_years_PIK&gt;=M$5,Inc_St!M32,0)</f>
        <v>0</v>
      </c>
      <c r="N17" s="4"/>
      <c r="O17" s="4"/>
    </row>
    <row r="18" spans="1:15" ht="12.75">
      <c r="A18" s="67" t="str">
        <f>"Accrued Interest "&amp;Bal_Sheet!A61</f>
        <v>Accrued Interest Preferred Stock</v>
      </c>
      <c r="C18" s="4"/>
      <c r="D18" s="137">
        <f>IF(pref_stock_years_PIK&gt;=D$5,Inc_St!D46,0)</f>
        <v>4200</v>
      </c>
      <c r="E18" s="137">
        <f>IF(pref_stock_years_PIK&gt;=E$5,Inc_St!E46,0)</f>
        <v>4494</v>
      </c>
      <c r="F18" s="137">
        <f>IF(pref_stock_years_PIK&gt;=F$5,Inc_St!F46,0)</f>
        <v>4808.580000000001</v>
      </c>
      <c r="G18" s="137">
        <f>IF(pref_stock_years_PIK&gt;=G$5,Inc_St!G46,0)</f>
        <v>5145.180600000001</v>
      </c>
      <c r="H18" s="137">
        <f>IF(pref_stock_years_PIK&gt;=H$5,Inc_St!H46,0)</f>
        <v>5505.343242000001</v>
      </c>
      <c r="I18" s="137">
        <f>IF(pref_stock_years_PIK&gt;=I$5,Inc_St!I46,0)</f>
        <v>0</v>
      </c>
      <c r="J18" s="137">
        <f>IF(pref_stock_years_PIK&gt;=J$5,Inc_St!J46,0)</f>
        <v>0</v>
      </c>
      <c r="K18" s="137">
        <f>IF(pref_stock_years_PIK&gt;=K$5,Inc_St!K46,0)</f>
        <v>0</v>
      </c>
      <c r="L18" s="137">
        <f>IF(pref_stock_years_PIK&gt;=L$5,Inc_St!L46,0)</f>
        <v>0</v>
      </c>
      <c r="M18" s="137">
        <f>IF(pref_stock_years_PIK&gt;=M$5,Inc_St!M46,0)</f>
        <v>0</v>
      </c>
      <c r="N18" s="4"/>
      <c r="O18" s="4"/>
    </row>
    <row r="19" spans="1:15" ht="12.75">
      <c r="A19" s="8"/>
      <c r="C19" s="4"/>
      <c r="D19" s="5"/>
      <c r="E19" s="5"/>
      <c r="F19" s="5"/>
      <c r="G19" s="5"/>
      <c r="H19" s="5"/>
      <c r="I19" s="5"/>
      <c r="J19" s="5"/>
      <c r="K19" s="5"/>
      <c r="L19" s="5"/>
      <c r="M19" s="5"/>
      <c r="N19" s="4"/>
      <c r="O19" s="4"/>
    </row>
    <row r="20" spans="1:15" ht="12.75">
      <c r="A20" s="8" t="s">
        <v>33</v>
      </c>
      <c r="C20" s="4"/>
      <c r="D20" s="4"/>
      <c r="E20" s="4"/>
      <c r="F20" s="4"/>
      <c r="G20" s="4"/>
      <c r="H20" s="4"/>
      <c r="I20" s="4"/>
      <c r="J20" s="4"/>
      <c r="K20" s="4"/>
      <c r="L20" s="4"/>
      <c r="M20" s="4"/>
      <c r="N20" s="4"/>
      <c r="O20" s="4"/>
    </row>
    <row r="21" spans="1:15" ht="12.75">
      <c r="A21" s="67" t="s">
        <v>41</v>
      </c>
      <c r="C21" s="4"/>
      <c r="D21" s="4">
        <f>-(Bal_Sheet!F11-Bal_Sheet!E11)</f>
        <v>-113000</v>
      </c>
      <c r="E21" s="4">
        <f>-(Bal_Sheet!G11-Bal_Sheet!F11)</f>
        <v>-30690</v>
      </c>
      <c r="F21" s="4">
        <f>-(Bal_Sheet!H11-Bal_Sheet!G11)</f>
        <v>-35446.95000000001</v>
      </c>
      <c r="G21" s="4">
        <f>-(Bal_Sheet!I11-Bal_Sheet!H11)</f>
        <v>-40941.22725000011</v>
      </c>
      <c r="H21" s="4">
        <f>-(Bal_Sheet!J11-Bal_Sheet!I11)</f>
        <v>-47287.11747374991</v>
      </c>
      <c r="I21" s="4">
        <f>-(Bal_Sheet!K11-Bal_Sheet!J11)</f>
        <v>-54616.62068218138</v>
      </c>
      <c r="J21" s="4">
        <f>-(Bal_Sheet!L11-Bal_Sheet!K11)</f>
        <v>-63082.19688791939</v>
      </c>
      <c r="K21" s="4">
        <f>-(Bal_Sheet!M11-Bal_Sheet!L11)</f>
        <v>-72859.93740554707</v>
      </c>
      <c r="L21" s="4">
        <f>-(Bal_Sheet!N11-Bal_Sheet!M11)</f>
        <v>-84153.22770340671</v>
      </c>
      <c r="M21" s="4">
        <f>-(Bal_Sheet!O11-Bal_Sheet!N11)</f>
        <v>-97196.97799743491</v>
      </c>
      <c r="N21" s="4"/>
      <c r="O21" s="4"/>
    </row>
    <row r="22" spans="1:15" ht="12.75">
      <c r="A22" s="67" t="s">
        <v>75</v>
      </c>
      <c r="C22" s="4"/>
      <c r="D22" s="4">
        <f>-(Bal_Sheet!F12-Bal_Sheet!E12)</f>
        <v>-3001</v>
      </c>
      <c r="E22" s="4">
        <f>-(Bal_Sheet!G12-Bal_Sheet!F12)</f>
        <v>-14539.14</v>
      </c>
      <c r="F22" s="4">
        <f>-(Bal_Sheet!H12-Bal_Sheet!G12)</f>
        <v>-16674.358100400015</v>
      </c>
      <c r="G22" s="4">
        <f>-(Bal_Sheet!I12-Bal_Sheet!H12)</f>
        <v>-19123.15433102472</v>
      </c>
      <c r="H22" s="4">
        <f>-(Bal_Sheet!J12-Bal_Sheet!I12)</f>
        <v>-21931.58077607912</v>
      </c>
      <c r="I22" s="4">
        <f>-(Bal_Sheet!K12-Bal_Sheet!J12)</f>
        <v>-25152.452728854027</v>
      </c>
      <c r="J22" s="4">
        <f>-(Bal_Sheet!L12-Bal_Sheet!K12)</f>
        <v>-28846.34193661355</v>
      </c>
      <c r="K22" s="4">
        <f>-(Bal_Sheet!M12-Bal_Sheet!L12)</f>
        <v>-33082.71571342458</v>
      </c>
      <c r="L22" s="4">
        <f>-(Bal_Sheet!N12-Bal_Sheet!M12)</f>
        <v>-37941.243343098235</v>
      </c>
      <c r="M22" s="4">
        <f>-(Bal_Sheet!O12-Bal_Sheet!N12)</f>
        <v>-43513.29434046557</v>
      </c>
      <c r="N22" s="4"/>
      <c r="O22" s="4"/>
    </row>
    <row r="23" spans="1:15" ht="12.75">
      <c r="A23" s="67" t="s">
        <v>76</v>
      </c>
      <c r="C23" s="4"/>
      <c r="D23" s="4">
        <f>-(Bal_Sheet!F13-Bal_Sheet!E13)-(Bal_Sheet!F14-Bal_Sheet!E14)</f>
        <v>-114500</v>
      </c>
      <c r="E23" s="4">
        <f>-(Bal_Sheet!G13-Bal_Sheet!F13)-(Bal_Sheet!G14-Bal_Sheet!F14)</f>
        <v>-22869</v>
      </c>
      <c r="F23" s="4">
        <f>-(Bal_Sheet!H13-Bal_Sheet!G13)-(Bal_Sheet!H14-Bal_Sheet!G14)</f>
        <v>-25751.582999999984</v>
      </c>
      <c r="G23" s="4">
        <f>-(Bal_Sheet!I13-Bal_Sheet!H13)-(Bal_Sheet!I14-Bal_Sheet!H14)</f>
        <v>-28997.643163500034</v>
      </c>
      <c r="H23" s="4">
        <f>-(Bal_Sheet!J13-Bal_Sheet!I13)-(Bal_Sheet!J14-Bal_Sheet!I14)</f>
        <v>-32653.029464228253</v>
      </c>
      <c r="I23" s="4">
        <f>-(Bal_Sheet!K13-Bal_Sheet!J13)-(Bal_Sheet!K14-Bal_Sheet!J14)</f>
        <v>-36769.376307579965</v>
      </c>
      <c r="J23" s="4">
        <f>-(Bal_Sheet!L13-Bal_Sheet!K13)-(Bal_Sheet!L14-Bal_Sheet!K14)</f>
        <v>-41404.833815031874</v>
      </c>
      <c r="K23" s="4">
        <f>-(Bal_Sheet!M13-Bal_Sheet!L13)-(Bal_Sheet!M14-Bal_Sheet!L14)</f>
        <v>-46624.890322128675</v>
      </c>
      <c r="L23" s="4">
        <f>-(Bal_Sheet!N13-Bal_Sheet!M13)-(Bal_Sheet!N14-Bal_Sheet!M14)</f>
        <v>-52503.29873775314</v>
      </c>
      <c r="M23" s="4">
        <f>-(Bal_Sheet!O13-Bal_Sheet!N13)-(Bal_Sheet!O14-Bal_Sheet!N14)</f>
        <v>-59123.119884115324</v>
      </c>
      <c r="N23" s="4"/>
      <c r="O23" s="4"/>
    </row>
    <row r="24" spans="1:15" ht="12.75">
      <c r="A24" s="67" t="s">
        <v>39</v>
      </c>
      <c r="C24" s="4"/>
      <c r="D24" s="4">
        <f>Bal_Sheet!F38-Bal_Sheet!E38</f>
        <v>22900.149999999994</v>
      </c>
      <c r="E24" s="4">
        <f>Bal_Sheet!G38-Bal_Sheet!F38</f>
        <v>11041.109670000005</v>
      </c>
      <c r="F24" s="4">
        <f>Bal_Sheet!H38-Bal_Sheet!G38</f>
        <v>10801.022541004655</v>
      </c>
      <c r="G24" s="4">
        <f>Bal_Sheet!I38-Bal_Sheet!H38</f>
        <v>12166.03824881358</v>
      </c>
      <c r="H24" s="4">
        <f>Bal_Sheet!J38-Bal_Sheet!I38</f>
        <v>13704.300290862666</v>
      </c>
      <c r="I24" s="4">
        <f>Bal_Sheet!K38-Bal_Sheet!J38</f>
        <v>15437.92063400791</v>
      </c>
      <c r="J24" s="4">
        <f>Bal_Sheet!L38-Bal_Sheet!K38</f>
        <v>17391.854122644465</v>
      </c>
      <c r="K24" s="4">
        <f>Bal_Sheet!M38-Bal_Sheet!L38</f>
        <v>19594.267410063418</v>
      </c>
      <c r="L24" s="4">
        <f>Bal_Sheet!N38-Bal_Sheet!M38</f>
        <v>22076.956332847098</v>
      </c>
      <c r="M24" s="4">
        <f>Bal_Sheet!O38-Bal_Sheet!N38</f>
        <v>24875.81818150307</v>
      </c>
      <c r="N24" s="4"/>
      <c r="O24" s="4"/>
    </row>
    <row r="25" spans="1:15" ht="12.75">
      <c r="A25" s="67" t="s">
        <v>77</v>
      </c>
      <c r="C25" s="4"/>
      <c r="D25" s="4">
        <f>(Bal_Sheet!F39-Bal_Sheet!E39)+(Bal_Sheet!F40-Bal_Sheet!E40)</f>
        <v>108000</v>
      </c>
      <c r="E25" s="4">
        <f>(Bal_Sheet!G39-Bal_Sheet!F39)+(Bal_Sheet!G40-Bal_Sheet!F40)</f>
        <v>17457</v>
      </c>
      <c r="F25" s="4">
        <f>(Bal_Sheet!H39-Bal_Sheet!G39)+(Bal_Sheet!H40-Bal_Sheet!G40)</f>
        <v>19437.016499999983</v>
      </c>
      <c r="G25" s="4">
        <f>(Bal_Sheet!I39-Bal_Sheet!H39)+(Bal_Sheet!I40-Bal_Sheet!H40)</f>
        <v>21641.741558249996</v>
      </c>
      <c r="H25" s="4">
        <f>(Bal_Sheet!J39-Bal_Sheet!I39)+(Bal_Sheet!J40-Bal_Sheet!I40)</f>
        <v>24096.69178838216</v>
      </c>
      <c r="I25" s="4">
        <f>(Bal_Sheet!K39-Bal_Sheet!J39)+(Bal_Sheet!K40-Bal_Sheet!J40)</f>
        <v>26830.283014908797</v>
      </c>
      <c r="J25" s="4">
        <f>(Bal_Sheet!L39-Bal_Sheet!K39)+(Bal_Sheet!L40-Bal_Sheet!K40)</f>
        <v>29874.159875608864</v>
      </c>
      <c r="K25" s="4">
        <f>(Bal_Sheet!M39-Bal_Sheet!L39)+(Bal_Sheet!M40-Bal_Sheet!L40)</f>
        <v>33263.56291731082</v>
      </c>
      <c r="L25" s="4">
        <f>(Bal_Sheet!N39-Bal_Sheet!M39)+(Bal_Sheet!N40-Bal_Sheet!M40)</f>
        <v>37037.73745256866</v>
      </c>
      <c r="M25" s="4">
        <f>(Bal_Sheet!O39-Bal_Sheet!N39)+(Bal_Sheet!O40-Bal_Sheet!N40)</f>
        <v>41240.388930732384</v>
      </c>
      <c r="N25" s="4"/>
      <c r="O25" s="4"/>
    </row>
    <row r="26" spans="1:15" ht="12.75">
      <c r="A26" s="8"/>
      <c r="C26" s="4"/>
      <c r="D26" s="4"/>
      <c r="E26" s="4"/>
      <c r="F26" s="4"/>
      <c r="G26" s="4"/>
      <c r="H26" s="4"/>
      <c r="I26" s="4"/>
      <c r="J26" s="4"/>
      <c r="K26" s="4"/>
      <c r="L26" s="4"/>
      <c r="M26" s="4"/>
      <c r="N26" s="4"/>
      <c r="O26" s="4"/>
    </row>
    <row r="27" spans="1:15" ht="12.75">
      <c r="A27" s="8" t="s">
        <v>36</v>
      </c>
      <c r="C27" s="4"/>
      <c r="D27" s="4">
        <f aca="true" t="shared" si="1" ref="D27:M27">SUM(D9:D26)</f>
        <v>121910.7188049583</v>
      </c>
      <c r="E27" s="4">
        <f t="shared" si="1"/>
        <v>201927.63478402063</v>
      </c>
      <c r="F27" s="4">
        <f t="shared" si="1"/>
        <v>220575.63941624906</v>
      </c>
      <c r="G27" s="4">
        <f t="shared" si="1"/>
        <v>243926.455623493</v>
      </c>
      <c r="H27" s="4">
        <f t="shared" si="1"/>
        <v>275192.8809487922</v>
      </c>
      <c r="I27" s="4">
        <f t="shared" si="1"/>
        <v>286923.6624192663</v>
      </c>
      <c r="J27" s="4">
        <f t="shared" si="1"/>
        <v>306234.60297456535</v>
      </c>
      <c r="K27" s="4">
        <f t="shared" si="1"/>
        <v>364780.4565009148</v>
      </c>
      <c r="L27" s="4">
        <f t="shared" si="1"/>
        <v>374319.24829825404</v>
      </c>
      <c r="M27" s="4">
        <f t="shared" si="1"/>
        <v>359133.857918818</v>
      </c>
      <c r="N27" s="4"/>
      <c r="O27" s="4"/>
    </row>
    <row r="28" spans="1:15" ht="12.75">
      <c r="A28" s="8"/>
      <c r="C28" s="4"/>
      <c r="D28" s="4"/>
      <c r="E28" s="4"/>
      <c r="F28" s="4"/>
      <c r="G28" s="4"/>
      <c r="H28" s="4"/>
      <c r="I28" s="4"/>
      <c r="J28" s="4"/>
      <c r="K28" s="4"/>
      <c r="L28" s="4"/>
      <c r="M28" s="4"/>
      <c r="N28" s="4"/>
      <c r="O28" s="4"/>
    </row>
    <row r="29" spans="1:15" ht="12.75">
      <c r="A29" s="50" t="s">
        <v>34</v>
      </c>
      <c r="C29" s="4"/>
      <c r="D29" s="4"/>
      <c r="E29" s="4"/>
      <c r="F29" s="4"/>
      <c r="G29" s="4"/>
      <c r="H29" s="4"/>
      <c r="I29" s="4"/>
      <c r="J29" s="4"/>
      <c r="K29" s="4"/>
      <c r="L29" s="4"/>
      <c r="M29" s="4"/>
      <c r="N29" s="4"/>
      <c r="O29" s="4"/>
    </row>
    <row r="30" spans="1:15" ht="12.75">
      <c r="A30" s="67" t="s">
        <v>35</v>
      </c>
      <c r="C30" s="4"/>
      <c r="D30" s="4">
        <f>-Bal_Sheet!F25</f>
        <v>-110000</v>
      </c>
      <c r="E30" s="4">
        <f>-Bal_Sheet!G25</f>
        <v>-121000</v>
      </c>
      <c r="F30" s="4">
        <f>-Bal_Sheet!H25</f>
        <v>-133100</v>
      </c>
      <c r="G30" s="4">
        <f>-Bal_Sheet!I25</f>
        <v>-146410.00000000003</v>
      </c>
      <c r="H30" s="4">
        <f>-Bal_Sheet!J25</f>
        <v>-161051.00000000006</v>
      </c>
      <c r="I30" s="4">
        <f>-Bal_Sheet!K25</f>
        <v>-177156.1000000001</v>
      </c>
      <c r="J30" s="4">
        <f>-Bal_Sheet!L25</f>
        <v>-194871.7100000001</v>
      </c>
      <c r="K30" s="4">
        <f>-Bal_Sheet!M25</f>
        <v>-214358.88100000017</v>
      </c>
      <c r="L30" s="4">
        <f>-Bal_Sheet!N25</f>
        <v>-235794.7691000002</v>
      </c>
      <c r="M30" s="4">
        <f>-Bal_Sheet!O25</f>
        <v>-259374.24601000026</v>
      </c>
      <c r="N30" s="4"/>
      <c r="O30" s="4"/>
    </row>
    <row r="31" spans="1:15" ht="12.75">
      <c r="A31" s="67" t="s">
        <v>274</v>
      </c>
      <c r="C31" s="4"/>
      <c r="D31" s="4">
        <f>-(Bal_Sheet!F22-Bal_Sheet!E22)</f>
        <v>-29000</v>
      </c>
      <c r="E31" s="4">
        <f>-(Bal_Sheet!G22-Bal_Sheet!F22)</f>
        <v>-4641.999999999993</v>
      </c>
      <c r="F31" s="4">
        <f>-(Bal_Sheet!H22-Bal_Sheet!G22)</f>
        <v>-5131.7309999999925</v>
      </c>
      <c r="G31" s="4">
        <f>-(Bal_Sheet!I22-Bal_Sheet!H22)</f>
        <v>-5673.1286205</v>
      </c>
      <c r="H31" s="4">
        <f>-(Bal_Sheet!J22-Bal_Sheet!I22)</f>
        <v>-6271.6436899627515</v>
      </c>
      <c r="I31" s="4">
        <f>-(Bal_Sheet!K22-Bal_Sheet!J22)</f>
        <v>-6933.302099253808</v>
      </c>
      <c r="J31" s="4">
        <f>-(Bal_Sheet!L22-Bal_Sheet!K22)</f>
        <v>-7664.765470725077</v>
      </c>
      <c r="K31" s="4">
        <f>-(Bal_Sheet!M22-Bal_Sheet!L22)</f>
        <v>-8473.398227886602</v>
      </c>
      <c r="L31" s="4">
        <f>-(Bal_Sheet!N22-Bal_Sheet!M22)</f>
        <v>-9367.341740928634</v>
      </c>
      <c r="M31" s="4">
        <f>-(Bal_Sheet!O22-Bal_Sheet!N22)</f>
        <v>-10355.596294596631</v>
      </c>
      <c r="N31" s="4"/>
      <c r="O31" s="4"/>
    </row>
    <row r="32" spans="1:15" ht="12.75">
      <c r="A32" s="8"/>
      <c r="C32" s="4"/>
      <c r="D32" s="4"/>
      <c r="E32" s="4"/>
      <c r="F32" s="4"/>
      <c r="G32" s="4"/>
      <c r="H32" s="4"/>
      <c r="I32" s="4"/>
      <c r="J32" s="4"/>
      <c r="K32" s="4"/>
      <c r="L32" s="4"/>
      <c r="M32" s="4"/>
      <c r="N32" s="4"/>
      <c r="O32" s="4"/>
    </row>
    <row r="33" spans="1:15" ht="12.75">
      <c r="A33" s="8" t="s">
        <v>37</v>
      </c>
      <c r="C33" s="4"/>
      <c r="D33" s="4">
        <f>SUM(D30:D32)</f>
        <v>-139000</v>
      </c>
      <c r="E33" s="4">
        <f>SUM(E30:E32)</f>
        <v>-125642</v>
      </c>
      <c r="F33" s="4">
        <f aca="true" t="shared" si="2" ref="F33:M33">SUM(F30:F32)</f>
        <v>-138231.731</v>
      </c>
      <c r="G33" s="4">
        <f t="shared" si="2"/>
        <v>-152083.12862050004</v>
      </c>
      <c r="H33" s="4">
        <f t="shared" si="2"/>
        <v>-167322.6436899628</v>
      </c>
      <c r="I33" s="4">
        <f t="shared" si="2"/>
        <v>-184089.4020992539</v>
      </c>
      <c r="J33" s="4">
        <f t="shared" si="2"/>
        <v>-202536.47547072519</v>
      </c>
      <c r="K33" s="4">
        <f t="shared" si="2"/>
        <v>-222832.27922788676</v>
      </c>
      <c r="L33" s="4">
        <f t="shared" si="2"/>
        <v>-245162.11084092886</v>
      </c>
      <c r="M33" s="4">
        <f t="shared" si="2"/>
        <v>-269729.8423045969</v>
      </c>
      <c r="N33" s="4"/>
      <c r="O33" s="4"/>
    </row>
    <row r="34" spans="1:15" ht="12.75">
      <c r="A34" s="8"/>
      <c r="C34" s="4"/>
      <c r="D34" s="4"/>
      <c r="E34" s="4"/>
      <c r="F34" s="4"/>
      <c r="G34" s="4"/>
      <c r="H34" s="4"/>
      <c r="I34" s="4"/>
      <c r="J34" s="4"/>
      <c r="K34" s="4"/>
      <c r="L34" s="4"/>
      <c r="M34" s="4"/>
      <c r="N34" s="4"/>
      <c r="O34" s="4"/>
    </row>
    <row r="35" spans="1:15" ht="12.75">
      <c r="A35" s="50" t="s">
        <v>38</v>
      </c>
      <c r="C35" s="4"/>
      <c r="D35" s="4"/>
      <c r="E35" s="4"/>
      <c r="F35" s="4"/>
      <c r="G35" s="4"/>
      <c r="H35" s="4"/>
      <c r="I35" s="4"/>
      <c r="J35" s="4"/>
      <c r="K35" s="4"/>
      <c r="L35" s="4"/>
      <c r="M35" s="4"/>
      <c r="N35" s="4"/>
      <c r="O35" s="4"/>
    </row>
    <row r="36" spans="1:15" ht="12.75">
      <c r="A36" s="67" t="str">
        <f>"Increase (decrease) in "&amp;Bal_Sheet!A46</f>
        <v>Increase (decrease) in Existing Debt</v>
      </c>
      <c r="C36" s="4"/>
      <c r="D36" s="4">
        <f aca="true" t="shared" si="3" ref="D36:D42">-D85-D100</f>
        <v>-7222.222222222222</v>
      </c>
      <c r="E36" s="4">
        <f aca="true" t="shared" si="4" ref="E36:M36">-E85-E100</f>
        <v>-57777.77777777778</v>
      </c>
      <c r="F36" s="4">
        <f t="shared" si="4"/>
        <v>0</v>
      </c>
      <c r="G36" s="4">
        <f t="shared" si="4"/>
        <v>0</v>
      </c>
      <c r="H36" s="4">
        <f t="shared" si="4"/>
        <v>0</v>
      </c>
      <c r="I36" s="4">
        <f t="shared" si="4"/>
        <v>0</v>
      </c>
      <c r="J36" s="4">
        <f t="shared" si="4"/>
        <v>0</v>
      </c>
      <c r="K36" s="4">
        <f t="shared" si="4"/>
        <v>0</v>
      </c>
      <c r="L36" s="4">
        <f t="shared" si="4"/>
        <v>0</v>
      </c>
      <c r="M36" s="4">
        <f t="shared" si="4"/>
        <v>0</v>
      </c>
      <c r="N36" s="4"/>
      <c r="O36" s="4"/>
    </row>
    <row r="37" spans="1:15" ht="12.75">
      <c r="A37" s="67" t="str">
        <f>"Increase (decrease) in "&amp;Bal_Sheet!A48</f>
        <v>Increase (decrease) in Term Loan "A"</v>
      </c>
      <c r="C37" s="4"/>
      <c r="D37" s="4">
        <f t="shared" si="3"/>
        <v>-10000</v>
      </c>
      <c r="E37" s="4">
        <f aca="true" t="shared" si="5" ref="E37:M37">-E86-E101</f>
        <v>-12736.428434814268</v>
      </c>
      <c r="F37" s="4">
        <f t="shared" si="5"/>
        <v>-57263.57156518573</v>
      </c>
      <c r="G37" s="4">
        <f t="shared" si="5"/>
        <v>0</v>
      </c>
      <c r="H37" s="4">
        <f t="shared" si="5"/>
        <v>0</v>
      </c>
      <c r="I37" s="4">
        <f t="shared" si="5"/>
        <v>0</v>
      </c>
      <c r="J37" s="4">
        <f t="shared" si="5"/>
        <v>0</v>
      </c>
      <c r="K37" s="4">
        <f t="shared" si="5"/>
        <v>0</v>
      </c>
      <c r="L37" s="4">
        <f t="shared" si="5"/>
        <v>0</v>
      </c>
      <c r="M37" s="4">
        <f t="shared" si="5"/>
        <v>0</v>
      </c>
      <c r="N37" s="4"/>
      <c r="O37" s="4"/>
    </row>
    <row r="38" spans="1:15" ht="12.75">
      <c r="A38" s="67" t="str">
        <f>"Increase (decrease) in "&amp;Bal_Sheet!A49</f>
        <v>Increase (decrease) in Term Loan "B"</v>
      </c>
      <c r="C38" s="4"/>
      <c r="D38" s="4">
        <f t="shared" si="3"/>
        <v>-2200</v>
      </c>
      <c r="E38" s="4">
        <f aca="true" t="shared" si="6" ref="E38:M38">-E87-E102</f>
        <v>-2200</v>
      </c>
      <c r="F38" s="4">
        <f t="shared" si="6"/>
        <v>-21508.908279634823</v>
      </c>
      <c r="G38" s="4">
        <f t="shared" si="6"/>
        <v>-29091.091720365235</v>
      </c>
      <c r="H38" s="4">
        <f t="shared" si="6"/>
        <v>0</v>
      </c>
      <c r="I38" s="4">
        <f t="shared" si="6"/>
        <v>5.820766091346741E-11</v>
      </c>
      <c r="J38" s="4">
        <f t="shared" si="6"/>
        <v>1.7462298274040222E-10</v>
      </c>
      <c r="K38" s="4">
        <f t="shared" si="6"/>
        <v>3.4924596548080444E-10</v>
      </c>
      <c r="L38" s="4">
        <f t="shared" si="6"/>
        <v>5.238689482212067E-10</v>
      </c>
      <c r="M38" s="4">
        <f t="shared" si="6"/>
        <v>5.238689482212067E-10</v>
      </c>
      <c r="N38" s="4"/>
      <c r="O38" s="4"/>
    </row>
    <row r="39" spans="1:15" ht="12.75">
      <c r="A39" s="67" t="str">
        <f>"Increase (decrease) in "&amp;Bal_Sheet!A50</f>
        <v>Increase (decrease) in Senior Notes</v>
      </c>
      <c r="C39" s="4"/>
      <c r="D39" s="4">
        <f t="shared" si="3"/>
        <v>0</v>
      </c>
      <c r="E39" s="4">
        <f aca="true" t="shared" si="7" ref="E39:M39">-E88-E103</f>
        <v>0</v>
      </c>
      <c r="F39" s="4">
        <f t="shared" si="7"/>
        <v>0</v>
      </c>
      <c r="G39" s="4">
        <f t="shared" si="7"/>
        <v>-59180.80671119923</v>
      </c>
      <c r="H39" s="4">
        <f t="shared" si="7"/>
        <v>-5819.193288800889</v>
      </c>
      <c r="I39" s="4">
        <f t="shared" si="7"/>
        <v>-1.1641532182693481E-10</v>
      </c>
      <c r="J39" s="4">
        <f t="shared" si="7"/>
        <v>-1.1641532182693481E-10</v>
      </c>
      <c r="K39" s="4">
        <f t="shared" si="7"/>
        <v>0</v>
      </c>
      <c r="L39" s="4">
        <f t="shared" si="7"/>
        <v>3.4924596548080444E-10</v>
      </c>
      <c r="M39" s="4">
        <f t="shared" si="7"/>
        <v>0</v>
      </c>
      <c r="N39" s="4"/>
      <c r="O39" s="4"/>
    </row>
    <row r="40" spans="1:15" ht="12.75">
      <c r="A40" s="67" t="str">
        <f>"Increase (decrease) in "&amp;Bal_Sheet!A51</f>
        <v>Increase (decrease) in Subordinated Notes</v>
      </c>
      <c r="C40" s="4"/>
      <c r="D40" s="4">
        <f t="shared" si="3"/>
        <v>0</v>
      </c>
      <c r="E40" s="4">
        <f aca="true" t="shared" si="8" ref="E40:M40">-E89-E104</f>
        <v>0</v>
      </c>
      <c r="F40" s="4">
        <f t="shared" si="8"/>
        <v>0</v>
      </c>
      <c r="G40" s="4">
        <f t="shared" si="8"/>
        <v>0</v>
      </c>
      <c r="H40" s="4">
        <f t="shared" si="8"/>
        <v>-47700.744025</v>
      </c>
      <c r="I40" s="4">
        <f t="shared" si="8"/>
        <v>-2146.5334811249995</v>
      </c>
      <c r="J40" s="4">
        <f t="shared" si="8"/>
        <v>0</v>
      </c>
      <c r="K40" s="4">
        <f t="shared" si="8"/>
        <v>0</v>
      </c>
      <c r="L40" s="4">
        <f t="shared" si="8"/>
        <v>0</v>
      </c>
      <c r="M40" s="4">
        <f t="shared" si="8"/>
        <v>0</v>
      </c>
      <c r="N40" s="4"/>
      <c r="O40" s="4"/>
    </row>
    <row r="41" spans="1:15" ht="12.75">
      <c r="A41" s="67" t="str">
        <f>"Increase (decrease) in "&amp;Bal_Sheet!A52</f>
        <v>Increase (decrease) in Mezzanine Debt</v>
      </c>
      <c r="C41" s="4"/>
      <c r="D41" s="4">
        <f t="shared" si="3"/>
        <v>0</v>
      </c>
      <c r="E41" s="4">
        <f aca="true" t="shared" si="9" ref="E41:M41">-E90-E105</f>
        <v>0</v>
      </c>
      <c r="F41" s="4">
        <f t="shared" si="9"/>
        <v>0</v>
      </c>
      <c r="G41" s="4">
        <f t="shared" si="9"/>
        <v>0</v>
      </c>
      <c r="H41" s="4">
        <f t="shared" si="9"/>
        <v>-50778.871373599955</v>
      </c>
      <c r="I41" s="4">
        <f t="shared" si="9"/>
        <v>-36453.86426211874</v>
      </c>
      <c r="J41" s="4">
        <f t="shared" si="9"/>
        <v>-1.1641532182693481E-10</v>
      </c>
      <c r="K41" s="4">
        <f t="shared" si="9"/>
        <v>-2.9103830456733704E-10</v>
      </c>
      <c r="L41" s="4">
        <f t="shared" si="9"/>
        <v>-5.238689482212067E-10</v>
      </c>
      <c r="M41" s="4">
        <f t="shared" si="9"/>
        <v>-6.984919309616089E-10</v>
      </c>
      <c r="N41" s="4"/>
      <c r="O41" s="4"/>
    </row>
    <row r="42" spans="1:15" ht="12.75">
      <c r="A42" s="67" t="str">
        <f>"Increase (decrease) in "&amp;Bal_Sheet!A53</f>
        <v>Increase (decrease) in Seller Notes</v>
      </c>
      <c r="C42" s="4"/>
      <c r="D42" s="4">
        <f t="shared" si="3"/>
        <v>-3571.428571428571</v>
      </c>
      <c r="E42" s="4">
        <f aca="true" t="shared" si="10" ref="E42:M42">-E91-E106</f>
        <v>-3571.428571428571</v>
      </c>
      <c r="F42" s="4">
        <f t="shared" si="10"/>
        <v>-3571.428571428571</v>
      </c>
      <c r="G42" s="4">
        <f t="shared" si="10"/>
        <v>-3571.428571428571</v>
      </c>
      <c r="H42" s="4">
        <f t="shared" si="10"/>
        <v>-3571.428571428571</v>
      </c>
      <c r="I42" s="4">
        <f t="shared" si="10"/>
        <v>-12080.869337060427</v>
      </c>
      <c r="J42" s="4">
        <f t="shared" si="10"/>
        <v>0</v>
      </c>
      <c r="K42" s="4">
        <f t="shared" si="10"/>
        <v>0</v>
      </c>
      <c r="L42" s="4">
        <f t="shared" si="10"/>
        <v>0</v>
      </c>
      <c r="M42" s="4">
        <f t="shared" si="10"/>
        <v>0</v>
      </c>
      <c r="N42" s="4"/>
      <c r="O42" s="4"/>
    </row>
    <row r="43" spans="1:15" ht="12.75">
      <c r="A43" s="67" t="str">
        <f>"Increase (decrease) in "&amp;Bal_Sheet!A61</f>
        <v>Increase (decrease) in Preferred Stock</v>
      </c>
      <c r="C43" s="4"/>
      <c r="D43" s="4">
        <f>-D92</f>
        <v>0</v>
      </c>
      <c r="E43" s="4">
        <f aca="true" t="shared" si="11" ref="E43:M43">-E92</f>
        <v>0</v>
      </c>
      <c r="F43" s="4">
        <f t="shared" si="11"/>
        <v>0</v>
      </c>
      <c r="G43" s="4">
        <f t="shared" si="11"/>
        <v>0</v>
      </c>
      <c r="H43" s="4">
        <f t="shared" si="11"/>
        <v>0</v>
      </c>
      <c r="I43" s="4">
        <f t="shared" si="11"/>
        <v>0</v>
      </c>
      <c r="J43" s="4">
        <f t="shared" si="11"/>
        <v>0</v>
      </c>
      <c r="K43" s="4">
        <f t="shared" si="11"/>
        <v>0</v>
      </c>
      <c r="L43" s="4">
        <f t="shared" si="11"/>
        <v>0</v>
      </c>
      <c r="M43" s="4">
        <f t="shared" si="11"/>
        <v>0</v>
      </c>
      <c r="N43" s="4"/>
      <c r="O43" s="4"/>
    </row>
    <row r="44" spans="1:15" ht="12.75">
      <c r="A44" s="8"/>
      <c r="C44" s="4"/>
      <c r="D44" s="4"/>
      <c r="E44" s="4"/>
      <c r="F44" s="4"/>
      <c r="G44" s="4"/>
      <c r="H44" s="4"/>
      <c r="I44" s="4"/>
      <c r="J44" s="4"/>
      <c r="K44" s="4"/>
      <c r="L44" s="4"/>
      <c r="M44" s="4"/>
      <c r="N44" s="4"/>
      <c r="O44" s="4"/>
    </row>
    <row r="45" spans="1:15" ht="12.75">
      <c r="A45" s="8" t="s">
        <v>40</v>
      </c>
      <c r="C45" s="4"/>
      <c r="D45" s="4">
        <f>SUM(D36:D44)</f>
        <v>-22993.650793650795</v>
      </c>
      <c r="E45" s="4">
        <f aca="true" t="shared" si="12" ref="E45:M45">SUM(E36:E44)</f>
        <v>-76285.63478402061</v>
      </c>
      <c r="F45" s="4">
        <f t="shared" si="12"/>
        <v>-82343.90841624912</v>
      </c>
      <c r="G45" s="4">
        <f t="shared" si="12"/>
        <v>-91843.32700299303</v>
      </c>
      <c r="H45" s="4">
        <f t="shared" si="12"/>
        <v>-107870.23725882941</v>
      </c>
      <c r="I45" s="4">
        <f t="shared" si="12"/>
        <v>-50681.26708030423</v>
      </c>
      <c r="J45" s="4">
        <f t="shared" si="12"/>
        <v>-5.820766091346741E-11</v>
      </c>
      <c r="K45" s="4">
        <f t="shared" si="12"/>
        <v>5.820766091346741E-11</v>
      </c>
      <c r="L45" s="4">
        <f t="shared" si="12"/>
        <v>3.4924596548080444E-10</v>
      </c>
      <c r="M45" s="4">
        <f t="shared" si="12"/>
        <v>-1.7462298274040222E-10</v>
      </c>
      <c r="N45" s="4"/>
      <c r="O45" s="4"/>
    </row>
    <row r="46" spans="1:15" ht="12.75">
      <c r="A46" s="8"/>
      <c r="C46" s="4"/>
      <c r="D46" s="4"/>
      <c r="E46" s="4"/>
      <c r="F46" s="4"/>
      <c r="G46" s="4"/>
      <c r="H46" s="4"/>
      <c r="I46" s="4"/>
      <c r="J46" s="4"/>
      <c r="K46" s="4"/>
      <c r="L46" s="4"/>
      <c r="M46" s="4"/>
      <c r="N46" s="4"/>
      <c r="O46" s="4"/>
    </row>
    <row r="47" spans="1:19" ht="12.75">
      <c r="A47" s="8" t="s">
        <v>42</v>
      </c>
      <c r="C47" s="4"/>
      <c r="D47" s="4">
        <f aca="true" t="shared" si="13" ref="D47:M47">D27+D33+D45</f>
        <v>-40082.93198869249</v>
      </c>
      <c r="E47" s="4">
        <f t="shared" si="13"/>
        <v>0</v>
      </c>
      <c r="F47" s="4">
        <f t="shared" si="13"/>
        <v>0</v>
      </c>
      <c r="G47" s="4">
        <f t="shared" si="13"/>
        <v>0</v>
      </c>
      <c r="H47" s="4">
        <f t="shared" si="13"/>
        <v>0</v>
      </c>
      <c r="I47" s="4">
        <f t="shared" si="13"/>
        <v>52152.99323970817</v>
      </c>
      <c r="J47" s="4">
        <f t="shared" si="13"/>
        <v>103698.1275038401</v>
      </c>
      <c r="K47" s="4">
        <f t="shared" si="13"/>
        <v>141948.17727302812</v>
      </c>
      <c r="L47" s="4">
        <f t="shared" si="13"/>
        <v>129157.13745732553</v>
      </c>
      <c r="M47" s="4">
        <f t="shared" si="13"/>
        <v>89404.01561422093</v>
      </c>
      <c r="N47" s="4"/>
      <c r="O47" s="4"/>
      <c r="P47" s="4"/>
      <c r="Q47" s="4"/>
      <c r="R47" s="4"/>
      <c r="S47" s="4"/>
    </row>
    <row r="48" spans="1:15" ht="12.75">
      <c r="A48" s="8"/>
      <c r="C48" s="4"/>
      <c r="D48" s="4"/>
      <c r="E48" s="4"/>
      <c r="F48" s="4"/>
      <c r="G48" s="4"/>
      <c r="H48" s="4"/>
      <c r="I48" s="4"/>
      <c r="J48" s="4"/>
      <c r="K48" s="4"/>
      <c r="L48" s="4"/>
      <c r="M48" s="4"/>
      <c r="N48" s="4"/>
      <c r="O48" s="4"/>
    </row>
    <row r="49" spans="1:15" ht="12.75">
      <c r="A49" s="50" t="s">
        <v>80</v>
      </c>
      <c r="C49" s="4"/>
      <c r="D49" s="4">
        <f>Bal_Sheet!E10</f>
        <v>77500</v>
      </c>
      <c r="E49" s="4">
        <f>D55</f>
        <v>50000</v>
      </c>
      <c r="F49" s="4">
        <f aca="true" t="shared" si="14" ref="F49:M49">E55</f>
        <v>50000</v>
      </c>
      <c r="G49" s="4">
        <f t="shared" si="14"/>
        <v>50000</v>
      </c>
      <c r="H49" s="4">
        <f t="shared" si="14"/>
        <v>50000</v>
      </c>
      <c r="I49" s="4">
        <f t="shared" si="14"/>
        <v>50000</v>
      </c>
      <c r="J49" s="4">
        <f t="shared" si="14"/>
        <v>50000</v>
      </c>
      <c r="K49" s="4">
        <f t="shared" si="14"/>
        <v>50000</v>
      </c>
      <c r="L49" s="4">
        <f t="shared" si="14"/>
        <v>134328.86602788352</v>
      </c>
      <c r="M49" s="4">
        <f t="shared" si="14"/>
        <v>263486.0034852087</v>
      </c>
      <c r="N49" s="4"/>
      <c r="O49" s="4"/>
    </row>
    <row r="50" spans="1:15" ht="12.75">
      <c r="A50" s="8"/>
      <c r="C50" s="4"/>
      <c r="D50" s="4"/>
      <c r="E50" s="4"/>
      <c r="F50" s="4"/>
      <c r="G50" s="4"/>
      <c r="H50" s="4"/>
      <c r="I50" s="4"/>
      <c r="J50" s="4"/>
      <c r="K50" s="4"/>
      <c r="L50" s="4"/>
      <c r="M50" s="4"/>
      <c r="N50" s="4"/>
      <c r="O50" s="4"/>
    </row>
    <row r="51" spans="1:15" ht="12.75">
      <c r="A51" s="50" t="str">
        <f>"Cash available for "&amp;Bal_Sheet!A47</f>
        <v>Cash available for Bank Revolver</v>
      </c>
      <c r="C51" s="4"/>
      <c r="D51" s="4">
        <f>D47+D49</f>
        <v>37417.06801130751</v>
      </c>
      <c r="E51" s="4">
        <f>E47+E49</f>
        <v>50000</v>
      </c>
      <c r="F51" s="4">
        <f aca="true" t="shared" si="15" ref="F51:M51">F47+F49</f>
        <v>50000</v>
      </c>
      <c r="G51" s="4">
        <f t="shared" si="15"/>
        <v>50000</v>
      </c>
      <c r="H51" s="4">
        <f t="shared" si="15"/>
        <v>50000</v>
      </c>
      <c r="I51" s="4">
        <f t="shared" si="15"/>
        <v>102152.99323970817</v>
      </c>
      <c r="J51" s="4">
        <f t="shared" si="15"/>
        <v>153698.1275038401</v>
      </c>
      <c r="K51" s="4">
        <f t="shared" si="15"/>
        <v>191948.17727302812</v>
      </c>
      <c r="L51" s="4">
        <f t="shared" si="15"/>
        <v>263486.0034852091</v>
      </c>
      <c r="M51" s="4">
        <f t="shared" si="15"/>
        <v>352890.01909942966</v>
      </c>
      <c r="N51" s="4"/>
      <c r="O51" s="4"/>
    </row>
    <row r="52" spans="1:15" ht="12.75">
      <c r="A52" s="50"/>
      <c r="C52" s="4"/>
      <c r="D52" s="4"/>
      <c r="E52" s="4"/>
      <c r="F52" s="4"/>
      <c r="G52" s="4"/>
      <c r="H52" s="4"/>
      <c r="I52" s="4"/>
      <c r="J52" s="4"/>
      <c r="K52" s="4"/>
      <c r="L52" s="4"/>
      <c r="M52" s="4"/>
      <c r="N52" s="4"/>
      <c r="O52" s="4"/>
    </row>
    <row r="53" spans="1:15" ht="12.75">
      <c r="A53" s="50" t="str">
        <f>"Added (retired) "&amp;Bal_Sheet!A47</f>
        <v>Added (retired) Bank Revolver</v>
      </c>
      <c r="C53" s="4"/>
      <c r="D53" s="4">
        <f>IF(cash_min=1,MIN(-MIN(Bal_Sheet!E47,D51-cash_min_amt),(revolver_limit-Bal_Sheet!E47)),MIN(-MIN(Bal_Sheet!E47,D51),(revolver_limit-Bal_Sheet!E47)))</f>
        <v>12582.931988692493</v>
      </c>
      <c r="E53" s="4">
        <f>IF(cash_min=1,MIN(-MIN(Bal_Sheet!F47,E51-cash_min_amt),(revolver_limit-Bal_Sheet!F47)),MIN(-MIN(Bal_Sheet!F47,E51),(revolver_limit-Bal_Sheet!F47)))</f>
        <v>0</v>
      </c>
      <c r="F53" s="4">
        <f>IF(cash_min=1,MIN(-MIN(Bal_Sheet!G47,F51-cash_min_amt),(revolver_limit-Bal_Sheet!G47)),MIN(-MIN(Bal_Sheet!G47,F51),(revolver_limit-Bal_Sheet!G47)))</f>
        <v>0</v>
      </c>
      <c r="G53" s="4">
        <f>IF(cash_min=1,MIN(-MIN(Bal_Sheet!H47,G51-cash_min_amt),(revolver_limit-Bal_Sheet!H47)),MIN(-MIN(Bal_Sheet!H47,G51),(revolver_limit-Bal_Sheet!H47)))</f>
        <v>0</v>
      </c>
      <c r="H53" s="4">
        <f>IF(cash_min=1,MIN(-MIN(Bal_Sheet!I47,H51-cash_min_amt),(revolver_limit-Bal_Sheet!I47)),MIN(-MIN(Bal_Sheet!I47,H51),(revolver_limit-Bal_Sheet!I47)))</f>
        <v>0</v>
      </c>
      <c r="I53" s="4">
        <f>IF(cash_min=1,MIN(-MIN(Bal_Sheet!J47,I51-cash_min_amt),(revolver_limit-Bal_Sheet!J47)),MIN(-MIN(Bal_Sheet!J47,I51),(revolver_limit-Bal_Sheet!J47)))</f>
        <v>-52152.99323970817</v>
      </c>
      <c r="J53" s="4">
        <f>IF(cash_min=1,MIN(-MIN(Bal_Sheet!K47,J51-cash_min_amt),(revolver_limit-Bal_Sheet!K47)),MIN(-MIN(Bal_Sheet!K47,J51),(revolver_limit-Bal_Sheet!K47)))</f>
        <v>-103698.1275038401</v>
      </c>
      <c r="K53" s="4">
        <f>IF(cash_min=1,MIN(-MIN(Bal_Sheet!L47,K51-cash_min_amt),(revolver_limit-Bal_Sheet!L47)),MIN(-MIN(Bal_Sheet!L47,K51),(revolver_limit-Bal_Sheet!L47)))</f>
        <v>-57619.3112451442</v>
      </c>
      <c r="L53" s="4">
        <f>IF(cash_min=1,MIN(-MIN(Bal_Sheet!M47,L51-cash_min_amt),(revolver_limit-Bal_Sheet!M47)),MIN(-MIN(Bal_Sheet!M47,L51),(revolver_limit-Bal_Sheet!M47)))</f>
        <v>5.820766091346741E-11</v>
      </c>
      <c r="M53" s="4">
        <f>IF(cash_min=1,MIN(-MIN(Bal_Sheet!N47,M51-cash_min_amt),(revolver_limit-Bal_Sheet!N47)),MIN(-MIN(Bal_Sheet!N47,M51),(revolver_limit-Bal_Sheet!N47)))</f>
        <v>5.238689482212067E-10</v>
      </c>
      <c r="N53" s="4"/>
      <c r="O53" s="4"/>
    </row>
    <row r="54" spans="1:15" ht="12.75">
      <c r="A54" s="50"/>
      <c r="C54" s="4"/>
      <c r="D54" s="4"/>
      <c r="E54" s="4"/>
      <c r="F54" s="4"/>
      <c r="G54" s="4"/>
      <c r="H54" s="4"/>
      <c r="I54" s="4"/>
      <c r="J54" s="4"/>
      <c r="K54" s="4"/>
      <c r="L54" s="4"/>
      <c r="M54" s="4"/>
      <c r="N54" s="4"/>
      <c r="O54" s="4"/>
    </row>
    <row r="55" spans="1:15" ht="12.75">
      <c r="A55" s="50" t="s">
        <v>79</v>
      </c>
      <c r="C55" s="4"/>
      <c r="D55" s="53">
        <f>D51+D53</f>
        <v>50000</v>
      </c>
      <c r="E55" s="53">
        <f aca="true" t="shared" si="16" ref="E55:M55">E51+E53</f>
        <v>50000</v>
      </c>
      <c r="F55" s="53">
        <f t="shared" si="16"/>
        <v>50000</v>
      </c>
      <c r="G55" s="53">
        <f t="shared" si="16"/>
        <v>50000</v>
      </c>
      <c r="H55" s="53">
        <f t="shared" si="16"/>
        <v>50000</v>
      </c>
      <c r="I55" s="53">
        <f t="shared" si="16"/>
        <v>50000</v>
      </c>
      <c r="J55" s="53">
        <f t="shared" si="16"/>
        <v>50000</v>
      </c>
      <c r="K55" s="53">
        <f t="shared" si="16"/>
        <v>134328.86602788392</v>
      </c>
      <c r="L55" s="53">
        <f t="shared" si="16"/>
        <v>263486.00348520913</v>
      </c>
      <c r="M55" s="53">
        <f t="shared" si="16"/>
        <v>352890.0190994302</v>
      </c>
      <c r="N55" s="4"/>
      <c r="O55" s="4"/>
    </row>
    <row r="56" spans="1:15" ht="12.75">
      <c r="A56" s="9"/>
      <c r="C56" s="4"/>
      <c r="D56" s="4"/>
      <c r="E56" s="4"/>
      <c r="F56" s="4"/>
      <c r="G56" s="4"/>
      <c r="H56" s="4"/>
      <c r="I56" s="4"/>
      <c r="J56" s="4"/>
      <c r="K56" s="4"/>
      <c r="L56" s="4"/>
      <c r="M56" s="4"/>
      <c r="N56" s="4"/>
      <c r="O56" s="4"/>
    </row>
    <row r="57" spans="1:15" ht="12.75">
      <c r="A57" s="95"/>
      <c r="B57" s="95"/>
      <c r="C57" s="96"/>
      <c r="D57" s="96"/>
      <c r="E57" s="96"/>
      <c r="F57" s="96"/>
      <c r="G57" s="96"/>
      <c r="H57" s="96"/>
      <c r="I57" s="96"/>
      <c r="J57" s="96"/>
      <c r="K57" s="96"/>
      <c r="L57" s="96"/>
      <c r="M57" s="96"/>
      <c r="N57" s="4"/>
      <c r="O57" s="4"/>
    </row>
    <row r="58" spans="1:15" ht="12.75">
      <c r="A58" s="190"/>
      <c r="B58" s="190"/>
      <c r="C58" s="99"/>
      <c r="D58" s="99"/>
      <c r="E58" s="99"/>
      <c r="F58" s="99"/>
      <c r="G58" s="99"/>
      <c r="H58" s="99"/>
      <c r="I58" s="99"/>
      <c r="J58" s="99"/>
      <c r="K58" s="99"/>
      <c r="L58" s="99"/>
      <c r="M58" s="99"/>
      <c r="N58" s="4"/>
      <c r="O58" s="4"/>
    </row>
    <row r="59" spans="1:15" ht="12.75">
      <c r="A59" s="191" t="s">
        <v>303</v>
      </c>
      <c r="B59" s="190"/>
      <c r="C59" s="99"/>
      <c r="D59" s="99"/>
      <c r="E59" s="99"/>
      <c r="F59" s="99"/>
      <c r="G59" s="99"/>
      <c r="H59" s="99"/>
      <c r="I59" s="99"/>
      <c r="J59" s="99"/>
      <c r="K59" s="99"/>
      <c r="L59" s="99"/>
      <c r="M59" s="99"/>
      <c r="N59" s="4"/>
      <c r="O59" s="4"/>
    </row>
    <row r="60" spans="1:15" ht="12.75">
      <c r="A60" s="2"/>
      <c r="C60" s="4"/>
      <c r="D60" s="4"/>
      <c r="E60" s="4"/>
      <c r="F60" s="4"/>
      <c r="G60" s="4"/>
      <c r="H60" s="4"/>
      <c r="I60" s="4"/>
      <c r="J60" s="4"/>
      <c r="K60" s="4"/>
      <c r="L60" s="4"/>
      <c r="M60" s="4"/>
      <c r="N60" s="4"/>
      <c r="O60" s="4"/>
    </row>
    <row r="61" spans="1:15" ht="12.75">
      <c r="A61" s="50" t="s">
        <v>16</v>
      </c>
      <c r="B61" s="8"/>
      <c r="C61" s="8"/>
      <c r="D61" s="58">
        <f>Inc_St!D22</f>
        <v>246075.8333333333</v>
      </c>
      <c r="E61" s="58">
        <f>Inc_St!E22</f>
        <v>263449.78333333327</v>
      </c>
      <c r="F61" s="58">
        <f>Inc_St!F22</f>
        <v>286746.4286925</v>
      </c>
      <c r="G61" s="58">
        <f>Inc_St!G22</f>
        <v>311398.1325332295</v>
      </c>
      <c r="H61" s="58">
        <f>Inc_St!H22</f>
        <v>336291.5680874987</v>
      </c>
      <c r="I61" s="58">
        <f>Inc_St!I22</f>
        <v>367027.2052147746</v>
      </c>
      <c r="J61" s="58">
        <f>Inc_St!J22</f>
        <v>439959.86180396494</v>
      </c>
      <c r="K61" s="58">
        <f>Inc_St!K22</f>
        <v>475435.05737707973</v>
      </c>
      <c r="L61" s="58">
        <f>Inc_St!L22</f>
        <v>517498.64565275435</v>
      </c>
      <c r="M61" s="58">
        <f>Inc_St!M22</f>
        <v>555099.8031999365</v>
      </c>
      <c r="N61" s="4"/>
      <c r="O61" s="4"/>
    </row>
    <row r="62" spans="1:15" ht="12.75">
      <c r="A62" s="67" t="s">
        <v>301</v>
      </c>
      <c r="B62" s="8"/>
      <c r="C62" s="8"/>
      <c r="D62" s="184">
        <f>IF(goodwill_intang_deductible=1,0,Depr_Amort!F43+Depr_Amort!F42)</f>
        <v>0</v>
      </c>
      <c r="E62" s="184">
        <f>IF(goodwill_intang_deductible=1,0,Depr_Amort!G43+Depr_Amort!G42)</f>
        <v>0</v>
      </c>
      <c r="F62" s="184">
        <f>IF(goodwill_intang_deductible=1,0,Depr_Amort!H43+Depr_Amort!H42)</f>
        <v>0</v>
      </c>
      <c r="G62" s="184">
        <f>IF(goodwill_intang_deductible=1,0,Depr_Amort!I43+Depr_Amort!I42)</f>
        <v>0</v>
      </c>
      <c r="H62" s="184">
        <f>IF(goodwill_intang_deductible=1,0,Depr_Amort!J43+Depr_Amort!J42)</f>
        <v>0</v>
      </c>
      <c r="I62" s="184">
        <f>IF(goodwill_intang_deductible=1,0,Depr_Amort!K43+Depr_Amort!K42)</f>
        <v>0</v>
      </c>
      <c r="J62" s="184">
        <f>IF(goodwill_intang_deductible=1,0,Depr_Amort!L43+Depr_Amort!L42)</f>
        <v>0</v>
      </c>
      <c r="K62" s="184">
        <f>IF(goodwill_intang_deductible=1,0,Depr_Amort!M43+Depr_Amort!M42)</f>
        <v>0</v>
      </c>
      <c r="L62" s="184">
        <f>IF(goodwill_intang_deductible=1,0,Depr_Amort!N43+Depr_Amort!N42)</f>
        <v>0</v>
      </c>
      <c r="M62" s="184">
        <f>IF(goodwill_intang_deductible=1,0,Depr_Amort!O43+Depr_Amort!O42)</f>
        <v>0</v>
      </c>
      <c r="N62" s="4"/>
      <c r="O62" s="4"/>
    </row>
    <row r="63" spans="1:15" ht="12.75">
      <c r="A63" s="135" t="s">
        <v>294</v>
      </c>
      <c r="B63" s="8"/>
      <c r="C63" s="8"/>
      <c r="D63" s="58">
        <f>SUM(D61:D62)</f>
        <v>246075.8333333333</v>
      </c>
      <c r="E63" s="58">
        <f aca="true" t="shared" si="17" ref="E63:M63">SUM(E61:E62)</f>
        <v>263449.78333333327</v>
      </c>
      <c r="F63" s="58">
        <f t="shared" si="17"/>
        <v>286746.4286925</v>
      </c>
      <c r="G63" s="58">
        <f t="shared" si="17"/>
        <v>311398.1325332295</v>
      </c>
      <c r="H63" s="58">
        <f t="shared" si="17"/>
        <v>336291.5680874987</v>
      </c>
      <c r="I63" s="58">
        <f t="shared" si="17"/>
        <v>367027.2052147746</v>
      </c>
      <c r="J63" s="58">
        <f t="shared" si="17"/>
        <v>439959.86180396494</v>
      </c>
      <c r="K63" s="58">
        <f t="shared" si="17"/>
        <v>475435.05737707973</v>
      </c>
      <c r="L63" s="58">
        <f t="shared" si="17"/>
        <v>517498.64565275435</v>
      </c>
      <c r="M63" s="58">
        <f t="shared" si="17"/>
        <v>555099.8031999365</v>
      </c>
      <c r="N63" s="4"/>
      <c r="O63" s="4"/>
    </row>
    <row r="64" spans="1:15" ht="12.75">
      <c r="A64" s="67" t="s">
        <v>295</v>
      </c>
      <c r="B64" s="8"/>
      <c r="C64" s="4"/>
      <c r="D64" s="96">
        <f aca="true" t="shared" si="18" ref="D64:M64">D63*tax_rate</f>
        <v>86126.54166666666</v>
      </c>
      <c r="E64" s="96">
        <f t="shared" si="18"/>
        <v>92207.42416666663</v>
      </c>
      <c r="F64" s="96">
        <f t="shared" si="18"/>
        <v>100361.25004237499</v>
      </c>
      <c r="G64" s="96">
        <f t="shared" si="18"/>
        <v>108989.3463866303</v>
      </c>
      <c r="H64" s="96">
        <f t="shared" si="18"/>
        <v>117702.04883062454</v>
      </c>
      <c r="I64" s="96">
        <f t="shared" si="18"/>
        <v>128459.52182517109</v>
      </c>
      <c r="J64" s="96">
        <f t="shared" si="18"/>
        <v>153985.95163138772</v>
      </c>
      <c r="K64" s="96">
        <f t="shared" si="18"/>
        <v>166402.27008197788</v>
      </c>
      <c r="L64" s="96">
        <f t="shared" si="18"/>
        <v>181124.52597846402</v>
      </c>
      <c r="M64" s="96">
        <f t="shared" si="18"/>
        <v>194284.93111997776</v>
      </c>
      <c r="N64" s="4"/>
      <c r="O64" s="4"/>
    </row>
    <row r="65" spans="1:15" ht="12.75">
      <c r="A65" s="135" t="s">
        <v>291</v>
      </c>
      <c r="B65" s="8"/>
      <c r="C65" s="4"/>
      <c r="D65" s="4">
        <f>D63-D64</f>
        <v>159949.29166666666</v>
      </c>
      <c r="E65" s="4">
        <f aca="true" t="shared" si="19" ref="E65:M65">E63-E64</f>
        <v>171242.35916666663</v>
      </c>
      <c r="F65" s="4">
        <f t="shared" si="19"/>
        <v>186385.178650125</v>
      </c>
      <c r="G65" s="4">
        <f t="shared" si="19"/>
        <v>202408.78614659916</v>
      </c>
      <c r="H65" s="4">
        <f t="shared" si="19"/>
        <v>218589.51925687416</v>
      </c>
      <c r="I65" s="4">
        <f t="shared" si="19"/>
        <v>238567.6833896035</v>
      </c>
      <c r="J65" s="4">
        <f t="shared" si="19"/>
        <v>285973.91017257725</v>
      </c>
      <c r="K65" s="4">
        <f t="shared" si="19"/>
        <v>309032.78729510185</v>
      </c>
      <c r="L65" s="4">
        <f t="shared" si="19"/>
        <v>336374.1196742903</v>
      </c>
      <c r="M65" s="4">
        <f t="shared" si="19"/>
        <v>360814.8720799588</v>
      </c>
      <c r="N65" s="4"/>
      <c r="O65" s="4"/>
    </row>
    <row r="66" spans="1:15" ht="12.75">
      <c r="A66" s="67" t="s">
        <v>292</v>
      </c>
      <c r="B66" s="8"/>
      <c r="C66" s="4"/>
      <c r="D66" s="4">
        <f>Depr_Amort!F39+IF(goodwill_intang_deductible=1,Depr_Amort!F43+Depr_Amort!F42,0)</f>
        <v>72924.16666666667</v>
      </c>
      <c r="E66" s="4">
        <f>Depr_Amort!G39+IF(goodwill_intang_deductible=1,Depr_Amort!G43+Depr_Amort!G42,0)</f>
        <v>85024.16666666667</v>
      </c>
      <c r="F66" s="4">
        <f>Depr_Amort!H39+IF(goodwill_intang_deductible=1,Depr_Amort!H43+Depr_Amort!H42,0)</f>
        <v>93897.50000000001</v>
      </c>
      <c r="G66" s="4">
        <f>Depr_Amort!I39+IF(goodwill_intang_deductible=1,Depr_Amort!I43+Depr_Amort!I42,0)</f>
        <v>104355.35714285714</v>
      </c>
      <c r="H66" s="4">
        <f>Depr_Amort!J39+IF(goodwill_intang_deductible=1,Depr_Amort!J43+Depr_Amort!J42,0)</f>
        <v>117776.27380952383</v>
      </c>
      <c r="I66" s="4">
        <f>Depr_Amort!K39+IF(goodwill_intang_deductible=1,Depr_Amort!K43+Depr_Amort!K42,0)</f>
        <v>128848.53005952384</v>
      </c>
      <c r="J66" s="4">
        <f>Depr_Amort!L39+IF(goodwill_intang_deductible=1,Depr_Amort!L43+Depr_Amort!L42,0)</f>
        <v>101531.64405952384</v>
      </c>
      <c r="K66" s="4">
        <f>Depr_Amort!M39+IF(goodwill_intang_deductible=1,Depr_Amort!M43+Depr_Amort!M42,0)</f>
        <v>115822.23612619052</v>
      </c>
      <c r="L66" s="4">
        <f>Depr_Amort!N39+IF(goodwill_intang_deductible=1,Depr_Amort!N43+Depr_Amort!N42,0)</f>
        <v>128046.8002178572</v>
      </c>
      <c r="M66" s="4">
        <f>Depr_Amort!O39+IF(goodwill_intang_deductible=1,Depr_Amort!O43+Depr_Amort!O42,0)</f>
        <v>149661.32071869055</v>
      </c>
      <c r="N66" s="4"/>
      <c r="O66" s="4"/>
    </row>
    <row r="67" spans="1:15" ht="12.75">
      <c r="A67" s="67" t="s">
        <v>111</v>
      </c>
      <c r="B67" s="8"/>
      <c r="C67" s="4"/>
      <c r="D67" s="4">
        <f>Bal_Sheet!F25</f>
        <v>110000</v>
      </c>
      <c r="E67" s="4">
        <f>Bal_Sheet!G25</f>
        <v>121000</v>
      </c>
      <c r="F67" s="4">
        <f>Bal_Sheet!H25</f>
        <v>133100</v>
      </c>
      <c r="G67" s="4">
        <f>Bal_Sheet!I25</f>
        <v>146410.00000000003</v>
      </c>
      <c r="H67" s="4">
        <f>Bal_Sheet!J25</f>
        <v>161051.00000000006</v>
      </c>
      <c r="I67" s="4">
        <f>Bal_Sheet!K25</f>
        <v>177156.1000000001</v>
      </c>
      <c r="J67" s="4">
        <f>Bal_Sheet!L25</f>
        <v>194871.7100000001</v>
      </c>
      <c r="K67" s="4">
        <f>Bal_Sheet!M25</f>
        <v>214358.88100000017</v>
      </c>
      <c r="L67" s="4">
        <f>Bal_Sheet!N25</f>
        <v>235794.7691000002</v>
      </c>
      <c r="M67" s="4">
        <f>Bal_Sheet!O25</f>
        <v>259374.24601000026</v>
      </c>
      <c r="N67" s="4"/>
      <c r="O67" s="4"/>
    </row>
    <row r="68" spans="1:15" ht="12.75">
      <c r="A68" s="67" t="s">
        <v>297</v>
      </c>
      <c r="B68" s="8"/>
      <c r="C68" s="8"/>
      <c r="D68" s="4">
        <f>-SUM(Cash_Flow!D21:D25)</f>
        <v>99600.85</v>
      </c>
      <c r="E68" s="4">
        <f>-SUM(Cash_Flow!E21:E25)</f>
        <v>39600.030329999994</v>
      </c>
      <c r="F68" s="4">
        <f>-SUM(Cash_Flow!F21:F25)</f>
        <v>47634.85205939537</v>
      </c>
      <c r="G68" s="4">
        <f>-SUM(Cash_Flow!G21:G25)</f>
        <v>55254.24493746129</v>
      </c>
      <c r="H68" s="4">
        <f>-SUM(Cash_Flow!H21:H25)</f>
        <v>64070.73563481246</v>
      </c>
      <c r="I68" s="4">
        <f>-SUM(Cash_Flow!I21:I25)</f>
        <v>74270.24606969867</v>
      </c>
      <c r="J68" s="4">
        <f>-SUM(Cash_Flow!J21:J25)</f>
        <v>86067.35864131147</v>
      </c>
      <c r="K68" s="4">
        <f>-SUM(Cash_Flow!K21:K25)</f>
        <v>99709.7131137261</v>
      </c>
      <c r="L68" s="4">
        <f>-SUM(Cash_Flow!L21:L25)</f>
        <v>115483.07599884234</v>
      </c>
      <c r="M68" s="4">
        <f>-SUM(Cash_Flow!M21:M25)</f>
        <v>133717.18510978034</v>
      </c>
      <c r="N68" s="4"/>
      <c r="O68" s="4"/>
    </row>
    <row r="69" spans="1:15" ht="12.75">
      <c r="A69" s="67" t="s">
        <v>290</v>
      </c>
      <c r="B69" s="8"/>
      <c r="C69" s="8"/>
      <c r="D69" s="4">
        <f>-Income_Tax!D30</f>
        <v>-4595.289999999994</v>
      </c>
      <c r="E69" s="4">
        <f>-Income_Tax!E30</f>
        <v>-246.53999999997905</v>
      </c>
      <c r="F69" s="4">
        <f>-Income_Tax!F30</f>
        <v>-246.5399999999936</v>
      </c>
      <c r="G69" s="4">
        <f>-Income_Tax!G30</f>
        <v>-2280.0122222222126</v>
      </c>
      <c r="H69" s="4">
        <f>-Income_Tax!H30</f>
        <v>-11657.15388888889</v>
      </c>
      <c r="I69" s="4">
        <f>-Income_Tax!I30</f>
        <v>-11674.653888888904</v>
      </c>
      <c r="J69" s="4">
        <f>-Income_Tax!J30</f>
        <v>-20859.237222222248</v>
      </c>
      <c r="K69" s="4">
        <f>-Income_Tax!K30</f>
        <v>-53405.33417388894</v>
      </c>
      <c r="L69" s="4">
        <f>-Income_Tax!L30</f>
        <v>-37782.121673888934</v>
      </c>
      <c r="M69" s="4">
        <f>-Income_Tax!M30</f>
        <v>4989.432501111092</v>
      </c>
      <c r="N69" s="4"/>
      <c r="O69" s="4"/>
    </row>
    <row r="70" spans="1:15" ht="12.75">
      <c r="A70" s="9" t="s">
        <v>293</v>
      </c>
      <c r="B70" s="8"/>
      <c r="C70" s="8"/>
      <c r="D70" s="185">
        <f>D65+D66-D67-D68-D69</f>
        <v>27867.8983333333</v>
      </c>
      <c r="E70" s="185">
        <f>E65+E66-E67-E68-E69</f>
        <v>95913.0355033333</v>
      </c>
      <c r="F70" s="185">
        <f>F65+F66-F67-F68-F69</f>
        <v>99794.36659072961</v>
      </c>
      <c r="G70" s="185">
        <f aca="true" t="shared" si="20" ref="G70:M70">G65+G66-G67-G68-G69</f>
        <v>107379.91057421721</v>
      </c>
      <c r="H70" s="185">
        <f t="shared" si="20"/>
        <v>122901.21132047438</v>
      </c>
      <c r="I70" s="185">
        <f t="shared" si="20"/>
        <v>127664.52126831748</v>
      </c>
      <c r="J70" s="185">
        <f t="shared" si="20"/>
        <v>127425.72281301174</v>
      </c>
      <c r="K70" s="185">
        <f t="shared" si="20"/>
        <v>164191.76348145504</v>
      </c>
      <c r="L70" s="185">
        <f t="shared" si="20"/>
        <v>150925.19646719392</v>
      </c>
      <c r="M70" s="185">
        <f t="shared" si="20"/>
        <v>112395.32917775761</v>
      </c>
      <c r="N70" s="4"/>
      <c r="O70" s="4"/>
    </row>
    <row r="71" spans="4:15" ht="12.75">
      <c r="D71" s="182"/>
      <c r="E71" s="4"/>
      <c r="F71" s="4"/>
      <c r="G71" s="4"/>
      <c r="H71" s="4"/>
      <c r="I71" s="4"/>
      <c r="J71" s="4"/>
      <c r="K71" s="4"/>
      <c r="L71" s="4"/>
      <c r="M71" s="4"/>
      <c r="N71" s="4"/>
      <c r="O71" s="4"/>
    </row>
    <row r="72" spans="1:15" ht="12.75">
      <c r="A72" s="95"/>
      <c r="B72" s="95"/>
      <c r="C72" s="95"/>
      <c r="D72" s="183"/>
      <c r="E72" s="96"/>
      <c r="F72" s="96"/>
      <c r="G72" s="96"/>
      <c r="H72" s="96"/>
      <c r="I72" s="96"/>
      <c r="J72" s="96"/>
      <c r="K72" s="96"/>
      <c r="L72" s="96"/>
      <c r="M72" s="96"/>
      <c r="N72" s="4"/>
      <c r="O72" s="4"/>
    </row>
    <row r="73" spans="1:15" ht="12.75">
      <c r="A73" s="8"/>
      <c r="B73" s="8"/>
      <c r="C73" s="8"/>
      <c r="D73" s="137"/>
      <c r="E73" s="4"/>
      <c r="F73" s="4"/>
      <c r="G73" s="4"/>
      <c r="H73" s="4"/>
      <c r="I73" s="4"/>
      <c r="J73" s="4"/>
      <c r="K73" s="4"/>
      <c r="L73" s="4"/>
      <c r="M73" s="4"/>
      <c r="N73" s="4"/>
      <c r="O73" s="4"/>
    </row>
    <row r="74" spans="1:15" ht="12.75">
      <c r="A74" s="191" t="s">
        <v>304</v>
      </c>
      <c r="B74" s="8"/>
      <c r="C74" s="8"/>
      <c r="D74" s="137"/>
      <c r="E74" s="4"/>
      <c r="F74" s="4"/>
      <c r="G74" s="4"/>
      <c r="H74" s="4"/>
      <c r="I74" s="4"/>
      <c r="J74" s="4"/>
      <c r="K74" s="4"/>
      <c r="L74" s="4"/>
      <c r="M74" s="4"/>
      <c r="N74" s="4"/>
      <c r="O74" s="4"/>
    </row>
    <row r="75" spans="1:15" ht="12.75">
      <c r="A75" s="8"/>
      <c r="B75" s="8"/>
      <c r="C75" s="8"/>
      <c r="D75" s="137"/>
      <c r="E75" s="4"/>
      <c r="F75" s="4"/>
      <c r="G75" s="4"/>
      <c r="H75" s="4"/>
      <c r="I75" s="4"/>
      <c r="J75" s="4"/>
      <c r="K75" s="4"/>
      <c r="L75" s="4"/>
      <c r="M75" s="4"/>
      <c r="N75" s="4"/>
      <c r="O75" s="4"/>
    </row>
    <row r="76" spans="1:15" ht="12.75">
      <c r="A76" s="50" t="s">
        <v>210</v>
      </c>
      <c r="B76" s="8"/>
      <c r="C76" s="4"/>
      <c r="D76" s="137"/>
      <c r="E76" s="4"/>
      <c r="F76" s="4"/>
      <c r="G76" s="4"/>
      <c r="H76" s="4"/>
      <c r="I76" s="4"/>
      <c r="J76" s="4"/>
      <c r="K76" s="4"/>
      <c r="L76" s="4"/>
      <c r="M76" s="4"/>
      <c r="N76" s="4"/>
      <c r="O76" s="4"/>
    </row>
    <row r="77" spans="1:15" ht="12.75">
      <c r="A77" s="8" t="s">
        <v>80</v>
      </c>
      <c r="B77" s="8"/>
      <c r="C77" s="4"/>
      <c r="D77" s="4">
        <f>Bal_Sheet!E10</f>
        <v>77500</v>
      </c>
      <c r="E77" s="4">
        <f>D110</f>
        <v>50000</v>
      </c>
      <c r="F77" s="4">
        <f aca="true" t="shared" si="21" ref="F77:M77">E110</f>
        <v>50000</v>
      </c>
      <c r="G77" s="4">
        <f t="shared" si="21"/>
        <v>50000</v>
      </c>
      <c r="H77" s="4">
        <f t="shared" si="21"/>
        <v>50000</v>
      </c>
      <c r="I77" s="4">
        <f t="shared" si="21"/>
        <v>50000</v>
      </c>
      <c r="J77" s="4">
        <f t="shared" si="21"/>
        <v>50000</v>
      </c>
      <c r="K77" s="4">
        <f t="shared" si="21"/>
        <v>50000</v>
      </c>
      <c r="L77" s="4">
        <f t="shared" si="21"/>
        <v>134328.86602788387</v>
      </c>
      <c r="M77" s="4">
        <f t="shared" si="21"/>
        <v>263486.0034852091</v>
      </c>
      <c r="N77" s="4"/>
      <c r="O77" s="4"/>
    </row>
    <row r="78" spans="1:15" ht="12.75">
      <c r="A78" s="8" t="s">
        <v>36</v>
      </c>
      <c r="B78" s="8"/>
      <c r="C78" s="4"/>
      <c r="D78" s="4">
        <f>D27</f>
        <v>121910.7188049583</v>
      </c>
      <c r="E78" s="4">
        <f aca="true" t="shared" si="22" ref="E78:M78">E27</f>
        <v>201927.63478402063</v>
      </c>
      <c r="F78" s="4">
        <f t="shared" si="22"/>
        <v>220575.63941624906</v>
      </c>
      <c r="G78" s="4">
        <f t="shared" si="22"/>
        <v>243926.455623493</v>
      </c>
      <c r="H78" s="4">
        <f t="shared" si="22"/>
        <v>275192.8809487922</v>
      </c>
      <c r="I78" s="4">
        <f t="shared" si="22"/>
        <v>286923.6624192663</v>
      </c>
      <c r="J78" s="4">
        <f t="shared" si="22"/>
        <v>306234.60297456535</v>
      </c>
      <c r="K78" s="4">
        <f t="shared" si="22"/>
        <v>364780.4565009148</v>
      </c>
      <c r="L78" s="4">
        <f t="shared" si="22"/>
        <v>374319.24829825404</v>
      </c>
      <c r="M78" s="4">
        <f t="shared" si="22"/>
        <v>359133.857918818</v>
      </c>
      <c r="N78" s="4"/>
      <c r="O78" s="4"/>
    </row>
    <row r="79" spans="1:15" ht="12.75">
      <c r="A79" s="8" t="s">
        <v>37</v>
      </c>
      <c r="B79" s="8"/>
      <c r="C79" s="4"/>
      <c r="D79" s="4">
        <f>D33</f>
        <v>-139000</v>
      </c>
      <c r="E79" s="4">
        <f aca="true" t="shared" si="23" ref="E79:M79">E33</f>
        <v>-125642</v>
      </c>
      <c r="F79" s="4">
        <f t="shared" si="23"/>
        <v>-138231.731</v>
      </c>
      <c r="G79" s="4">
        <f t="shared" si="23"/>
        <v>-152083.12862050004</v>
      </c>
      <c r="H79" s="4">
        <f t="shared" si="23"/>
        <v>-167322.6436899628</v>
      </c>
      <c r="I79" s="4">
        <f t="shared" si="23"/>
        <v>-184089.4020992539</v>
      </c>
      <c r="J79" s="4">
        <f t="shared" si="23"/>
        <v>-202536.47547072519</v>
      </c>
      <c r="K79" s="4">
        <f t="shared" si="23"/>
        <v>-222832.27922788676</v>
      </c>
      <c r="L79" s="4">
        <f t="shared" si="23"/>
        <v>-245162.11084092886</v>
      </c>
      <c r="M79" s="4">
        <f t="shared" si="23"/>
        <v>-269729.8423045969</v>
      </c>
      <c r="N79" s="4"/>
      <c r="O79" s="4"/>
    </row>
    <row r="80" spans="1:15" ht="12.75">
      <c r="A80" s="67" t="s">
        <v>213</v>
      </c>
      <c r="B80" s="8"/>
      <c r="C80" s="4"/>
      <c r="D80" s="4">
        <f>SUM(D77:D79)</f>
        <v>60410.718804958306</v>
      </c>
      <c r="E80" s="4">
        <f aca="true" t="shared" si="24" ref="E80:M80">SUM(E77:E79)</f>
        <v>126285.63478402063</v>
      </c>
      <c r="F80" s="4">
        <f t="shared" si="24"/>
        <v>132343.90841624906</v>
      </c>
      <c r="G80" s="4">
        <f t="shared" si="24"/>
        <v>141843.32700299297</v>
      </c>
      <c r="H80" s="4">
        <f t="shared" si="24"/>
        <v>157870.2372588294</v>
      </c>
      <c r="I80" s="4">
        <f t="shared" si="24"/>
        <v>152834.2603200124</v>
      </c>
      <c r="J80" s="4">
        <f t="shared" si="24"/>
        <v>153698.12750384017</v>
      </c>
      <c r="K80" s="4">
        <f t="shared" si="24"/>
        <v>191948.17727302806</v>
      </c>
      <c r="L80" s="4">
        <f t="shared" si="24"/>
        <v>263486.0034852091</v>
      </c>
      <c r="M80" s="4">
        <f t="shared" si="24"/>
        <v>352890.0190994302</v>
      </c>
      <c r="N80" s="4"/>
      <c r="O80" s="4"/>
    </row>
    <row r="81" spans="1:15" ht="12.75">
      <c r="A81" s="8" t="s">
        <v>215</v>
      </c>
      <c r="B81" s="8"/>
      <c r="C81" s="4"/>
      <c r="D81" s="4">
        <f aca="true" t="shared" si="25" ref="D81:M81">IF(cash_min=1,cash_min_amt,0)</f>
        <v>50000</v>
      </c>
      <c r="E81" s="4">
        <f t="shared" si="25"/>
        <v>50000</v>
      </c>
      <c r="F81" s="4">
        <f t="shared" si="25"/>
        <v>50000</v>
      </c>
      <c r="G81" s="4">
        <f t="shared" si="25"/>
        <v>50000</v>
      </c>
      <c r="H81" s="4">
        <f t="shared" si="25"/>
        <v>50000</v>
      </c>
      <c r="I81" s="4">
        <f t="shared" si="25"/>
        <v>50000</v>
      </c>
      <c r="J81" s="4">
        <f t="shared" si="25"/>
        <v>50000</v>
      </c>
      <c r="K81" s="4">
        <f t="shared" si="25"/>
        <v>50000</v>
      </c>
      <c r="L81" s="4">
        <f t="shared" si="25"/>
        <v>50000</v>
      </c>
      <c r="M81" s="4">
        <f t="shared" si="25"/>
        <v>50000</v>
      </c>
      <c r="N81" s="4"/>
      <c r="O81" s="4"/>
    </row>
    <row r="82" spans="1:15" ht="12.75">
      <c r="A82" s="67" t="str">
        <f>A76</f>
        <v>Cash Available for Debt Repayment</v>
      </c>
      <c r="B82" s="8"/>
      <c r="C82" s="4"/>
      <c r="D82" s="4">
        <f>D80-D81</f>
        <v>10410.718804958306</v>
      </c>
      <c r="E82" s="4">
        <f aca="true" t="shared" si="26" ref="E82:M82">E80-E81</f>
        <v>76285.63478402063</v>
      </c>
      <c r="F82" s="4">
        <f t="shared" si="26"/>
        <v>82343.90841624906</v>
      </c>
      <c r="G82" s="4">
        <f t="shared" si="26"/>
        <v>91843.32700299297</v>
      </c>
      <c r="H82" s="4">
        <f t="shared" si="26"/>
        <v>107870.23725882941</v>
      </c>
      <c r="I82" s="4">
        <f t="shared" si="26"/>
        <v>102834.2603200124</v>
      </c>
      <c r="J82" s="4">
        <f t="shared" si="26"/>
        <v>103698.12750384017</v>
      </c>
      <c r="K82" s="4">
        <f t="shared" si="26"/>
        <v>141948.17727302806</v>
      </c>
      <c r="L82" s="4">
        <f t="shared" si="26"/>
        <v>213486.00348520908</v>
      </c>
      <c r="M82" s="4">
        <f t="shared" si="26"/>
        <v>302890.0190994302</v>
      </c>
      <c r="N82" s="4"/>
      <c r="O82" s="4"/>
    </row>
    <row r="83" spans="1:15" ht="12.75">
      <c r="A83" s="8"/>
      <c r="B83" s="8"/>
      <c r="C83" s="4"/>
      <c r="D83" s="4"/>
      <c r="E83" s="4"/>
      <c r="F83" s="4"/>
      <c r="G83" s="4"/>
      <c r="H83" s="4"/>
      <c r="I83" s="4"/>
      <c r="J83" s="4"/>
      <c r="K83" s="4"/>
      <c r="L83" s="4"/>
      <c r="M83" s="4"/>
      <c r="N83" s="4"/>
      <c r="O83" s="4"/>
    </row>
    <row r="84" spans="1:15" ht="12.75">
      <c r="A84" s="135" t="s">
        <v>211</v>
      </c>
      <c r="B84" s="8"/>
      <c r="C84" s="4"/>
      <c r="D84" s="4"/>
      <c r="E84" s="4"/>
      <c r="F84" s="4"/>
      <c r="G84" s="4"/>
      <c r="H84" s="4"/>
      <c r="I84" s="4"/>
      <c r="J84" s="4"/>
      <c r="K84" s="4"/>
      <c r="L84" s="4"/>
      <c r="M84" s="4"/>
      <c r="N84" s="4"/>
      <c r="O84" s="4"/>
    </row>
    <row r="85" spans="1:15" ht="12.75">
      <c r="A85" s="67" t="str">
        <f>Bal_Sheet!A46</f>
        <v>Existing Debt</v>
      </c>
      <c r="B85" s="8"/>
      <c r="C85" s="8"/>
      <c r="D85" s="4">
        <f>IF(assumed_debt_maturity_year=D5,Bal_Sheet!E46,IF(assumed_debt_maturity_year&gt;D5,MIN(Bal_Sheet!E46,Input!$C$26*assumed_debt_ann_repay),0))</f>
        <v>7222.222222222222</v>
      </c>
      <c r="E85" s="4">
        <f>IF(assumed_debt_maturity_year=E5,Bal_Sheet!F46,IF(assumed_debt_maturity_year&gt;E5,MIN(Bal_Sheet!F46,Input!$C$26*assumed_debt_ann_repay),0))</f>
        <v>7222.222222222222</v>
      </c>
      <c r="F85" s="4">
        <f>IF(assumed_debt_maturity_year=F5,Bal_Sheet!G46,IF(assumed_debt_maturity_year&gt;F5,MIN(Bal_Sheet!G46,Input!$C$26*assumed_debt_ann_repay),0))</f>
        <v>0</v>
      </c>
      <c r="G85" s="4">
        <f>IF(assumed_debt_maturity_year=G5,Bal_Sheet!H46,IF(assumed_debt_maturity_year&gt;G5,MIN(Bal_Sheet!H46,Input!$C$26*assumed_debt_ann_repay),0))</f>
        <v>0</v>
      </c>
      <c r="H85" s="4">
        <f>IF(assumed_debt_maturity_year=H5,Bal_Sheet!I46,IF(assumed_debt_maturity_year&gt;H5,MIN(Bal_Sheet!I46,Input!$C$26*assumed_debt_ann_repay),0))</f>
        <v>0</v>
      </c>
      <c r="I85" s="4">
        <f>IF(assumed_debt_maturity_year=I5,Bal_Sheet!J46,IF(assumed_debt_maturity_year&gt;I5,MIN(Bal_Sheet!J46,Input!$C$26*assumed_debt_ann_repay),0))</f>
        <v>0</v>
      </c>
      <c r="J85" s="4">
        <f>IF(assumed_debt_maturity_year=J5,Bal_Sheet!K46,IF(assumed_debt_maturity_year&gt;J5,MIN(Bal_Sheet!K46,Input!$C$26*assumed_debt_ann_repay),0))</f>
        <v>0</v>
      </c>
      <c r="K85" s="4">
        <f>IF(assumed_debt_maturity_year=K5,Bal_Sheet!L46,IF(assumed_debt_maturity_year&gt;K5,MIN(Bal_Sheet!L46,Input!$C$26*assumed_debt_ann_repay),0))</f>
        <v>0</v>
      </c>
      <c r="L85" s="4">
        <f>IF(assumed_debt_maturity_year=L5,Bal_Sheet!M46,IF(assumed_debt_maturity_year&gt;L5,MIN(Bal_Sheet!M46,Input!$C$26*assumed_debt_ann_repay),0))</f>
        <v>0</v>
      </c>
      <c r="M85" s="4">
        <f>IF(assumed_debt_maturity_year=M5,Bal_Sheet!N46,IF(assumed_debt_maturity_year&gt;M5,MIN(Bal_Sheet!N46,Input!$C$26*assumed_debt_ann_repay),0))</f>
        <v>0</v>
      </c>
      <c r="N85" s="4"/>
      <c r="O85" s="4"/>
    </row>
    <row r="86" spans="1:15" ht="12.75">
      <c r="A86" s="67" t="str">
        <f>Bal_Sheet!A48</f>
        <v>Term Loan "A"</v>
      </c>
      <c r="B86" s="8"/>
      <c r="C86" s="8"/>
      <c r="D86" s="4">
        <f>IF(termloanA_term_years=D5,Bal_Sheet!E48,IF(termloanA_term_years&gt;D5,MIN(Bal_Sheet!E48,Input!$C$28*termloanA_ann_repay),0))</f>
        <v>10000</v>
      </c>
      <c r="E86" s="4">
        <f>IF(termloanA_term_years=E5,Bal_Sheet!F48,IF(termloanA_term_years&gt;E5,MIN(Bal_Sheet!F48,Input!$C$28*termloanA_ann_repay),0))</f>
        <v>10000</v>
      </c>
      <c r="F86" s="4">
        <f>IF(termloanA_term_years=F5,Bal_Sheet!G48,IF(termloanA_term_years&gt;F5,MIN(Bal_Sheet!G48,Input!$C$28*termloanA_ann_repay),0))</f>
        <v>10000</v>
      </c>
      <c r="G86" s="4">
        <f>IF(termloanA_term_years=G5,Bal_Sheet!H48,IF(termloanA_term_years&gt;G5,MIN(Bal_Sheet!H48,Input!$C$28*termloanA_ann_repay),0))</f>
        <v>0</v>
      </c>
      <c r="H86" s="4">
        <f>IF(termloanA_term_years=H5,Bal_Sheet!I48,IF(termloanA_term_years&gt;H5,MIN(Bal_Sheet!I48,Input!$C$28*termloanA_ann_repay),0))</f>
        <v>0</v>
      </c>
      <c r="I86" s="4">
        <f>IF(termloanA_term_years=I5,Bal_Sheet!J48,IF(termloanA_term_years&gt;I5,MIN(Bal_Sheet!J48,Input!$C$28*termloanA_ann_repay),0))</f>
        <v>0</v>
      </c>
      <c r="J86" s="4">
        <f>IF(termloanA_term_years=J5,Bal_Sheet!K48,IF(termloanA_term_years&gt;J5,MIN(Bal_Sheet!K48,Input!$C$28*termloanA_ann_repay),0))</f>
        <v>0</v>
      </c>
      <c r="K86" s="4">
        <f>IF(termloanA_term_years=K5,Bal_Sheet!L48,IF(termloanA_term_years&gt;K5,MIN(Bal_Sheet!L48,Input!$C$28*termloanA_ann_repay),0))</f>
        <v>0</v>
      </c>
      <c r="L86" s="4">
        <f>IF(termloanA_term_years=L5,Bal_Sheet!M48,IF(termloanA_term_years&gt;L5,MIN(Bal_Sheet!M48,Input!$C$28*termloanA_ann_repay),0))</f>
        <v>0</v>
      </c>
      <c r="M86" s="4">
        <f>IF(termloanA_term_years=M5,Bal_Sheet!N48,IF(termloanA_term_years&gt;M5,MIN(Bal_Sheet!N48,Input!$C$28*termloanA_ann_repay),0))</f>
        <v>0</v>
      </c>
      <c r="N86" s="4"/>
      <c r="O86" s="4"/>
    </row>
    <row r="87" spans="1:15" ht="12.75">
      <c r="A87" s="67" t="str">
        <f>Bal_Sheet!A49</f>
        <v>Term Loan "B"</v>
      </c>
      <c r="B87" s="8"/>
      <c r="C87" s="8"/>
      <c r="D87" s="4">
        <f>IF(termloanB_term_years=D5,MIN(Bal_Sheet!E49,Input!$C$29*termloanB_bulletyr_repayment),IF(termloanB_term_years&gt;D5,MIN(Bal_Sheet!E49,Input!$C$29*termloanB_ann_repay),0))</f>
        <v>2200</v>
      </c>
      <c r="E87" s="4">
        <f>IF(termloanB_term_years=E5,MIN(Bal_Sheet!F49,Input!$C$29*termloanB_bulletyr_repayment),IF(termloanB_term_years&gt;E5,MIN(Bal_Sheet!F49,Input!$C$29*termloanB_ann_repay),0))</f>
        <v>2200</v>
      </c>
      <c r="F87" s="4">
        <f>IF(termloanB_term_years=F5,MIN(Bal_Sheet!G49,Input!$C$29*termloanB_bulletyr_repayment),IF(termloanB_term_years&gt;F5,MIN(Bal_Sheet!G49,Input!$C$29*termloanB_ann_repay),0))</f>
        <v>2200</v>
      </c>
      <c r="G87" s="4">
        <f>IF(termloanB_term_years=G5,MIN(Bal_Sheet!H49,Input!$C$29*termloanB_bulletyr_repayment),IF(termloanB_term_years&gt;G5,MIN(Bal_Sheet!H49,Input!$C$29*termloanB_ann_repay),0))</f>
        <v>2200</v>
      </c>
      <c r="H87" s="4">
        <f>IF(termloanB_term_years=H5,MIN(Bal_Sheet!I49,Input!$C$29*termloanB_bulletyr_repayment),IF(termloanB_term_years&gt;H5,MIN(Bal_Sheet!I49,Input!$C$29*termloanB_ann_repay),0))</f>
        <v>-5.820766091346741E-11</v>
      </c>
      <c r="I87" s="4">
        <f>IF(termloanB_term_years=I5,MIN(Bal_Sheet!J49,Input!$C$29*termloanB_bulletyr_repayment),IF(termloanB_term_years&gt;I5,MIN(Bal_Sheet!J49,Input!$C$29*termloanB_ann_repay),0))</f>
        <v>-5.820766091346741E-11</v>
      </c>
      <c r="J87" s="4">
        <f>IF(termloanB_term_years=J5,MIN(Bal_Sheet!K49,Input!$C$29*termloanB_bulletyr_repayment),IF(termloanB_term_years&gt;J5,MIN(Bal_Sheet!K49,Input!$C$29*termloanB_ann_repay),0))</f>
        <v>0</v>
      </c>
      <c r="K87" s="4">
        <f>IF(termloanB_term_years=K5,MIN(Bal_Sheet!L49,Input!$C$29*termloanB_bulletyr_repayment),IF(termloanB_term_years&gt;K5,MIN(Bal_Sheet!L49,Input!$C$29*termloanB_ann_repay),0))</f>
        <v>1.7462298274040222E-10</v>
      </c>
      <c r="L87" s="4">
        <f>IF(termloanB_term_years=L5,MIN(Bal_Sheet!M49,Input!$C$29*termloanB_bulletyr_repayment),IF(termloanB_term_years&gt;L5,MIN(Bal_Sheet!M49,Input!$C$29*termloanB_ann_repay),0))</f>
        <v>5.238689482212067E-10</v>
      </c>
      <c r="M87" s="4">
        <f>IF(termloanB_term_years=M5,MIN(Bal_Sheet!N49,Input!$C$29*termloanB_bulletyr_repayment),IF(termloanB_term_years&gt;M5,MIN(Bal_Sheet!N49,Input!$C$29*termloanB_ann_repay),0))</f>
        <v>1.0477378964424133E-09</v>
      </c>
      <c r="N87" s="4"/>
      <c r="O87" s="4"/>
    </row>
    <row r="88" spans="1:15" ht="12.75">
      <c r="A88" s="67" t="str">
        <f>Bal_Sheet!A50</f>
        <v>Senior Notes</v>
      </c>
      <c r="B88" s="8"/>
      <c r="C88" s="8"/>
      <c r="D88" s="4">
        <f>IF(senior_notes_mat_yr=D5,Bal_Sheet!E50,0)</f>
        <v>0</v>
      </c>
      <c r="E88" s="4">
        <f>IF(senior_notes_mat_yr=E5,Bal_Sheet!F50,0)</f>
        <v>0</v>
      </c>
      <c r="F88" s="4">
        <f>IF(senior_notes_mat_yr=F5,Bal_Sheet!G50,0)</f>
        <v>0</v>
      </c>
      <c r="G88" s="4">
        <f>IF(senior_notes_mat_yr=G5,Bal_Sheet!H50,0)</f>
        <v>0</v>
      </c>
      <c r="H88" s="4">
        <f>IF(senior_notes_mat_yr=H5,Bal_Sheet!I50,0)</f>
        <v>0</v>
      </c>
      <c r="I88" s="4">
        <f>IF(senior_notes_mat_yr=I5,Bal_Sheet!J50,0)</f>
        <v>0</v>
      </c>
      <c r="J88" s="4">
        <f>IF(senior_notes_mat_yr=J5,Bal_Sheet!K50,0)</f>
        <v>0</v>
      </c>
      <c r="K88" s="4">
        <f>IF(senior_notes_mat_yr=K5,Bal_Sheet!L50,0)</f>
        <v>0</v>
      </c>
      <c r="L88" s="4">
        <f>IF(senior_notes_mat_yr=L5,Bal_Sheet!M50,0)</f>
        <v>-3.4924596548080444E-10</v>
      </c>
      <c r="M88" s="4">
        <f>IF(senior_notes_mat_yr=M5,Bal_Sheet!N50,0)</f>
        <v>0</v>
      </c>
      <c r="N88" s="4"/>
      <c r="O88" s="4"/>
    </row>
    <row r="89" spans="1:15" ht="12.75">
      <c r="A89" s="67" t="str">
        <f>Bal_Sheet!A51</f>
        <v>Subordinated Notes</v>
      </c>
      <c r="B89" s="8"/>
      <c r="C89" s="8"/>
      <c r="D89" s="4">
        <f>IF(sub_notes_mat_yr=D5,Bal_Sheet!E51,0)</f>
        <v>0</v>
      </c>
      <c r="E89" s="4">
        <f>IF(sub_notes_mat_yr=E5,Bal_Sheet!F51,0)</f>
        <v>0</v>
      </c>
      <c r="F89" s="4">
        <f>IF(sub_notes_mat_yr=F5,Bal_Sheet!G51,0)</f>
        <v>0</v>
      </c>
      <c r="G89" s="4">
        <f>IF(sub_notes_mat_yr=G5,Bal_Sheet!H51,0)</f>
        <v>0</v>
      </c>
      <c r="H89" s="4">
        <f>IF(sub_notes_mat_yr=H5,Bal_Sheet!I51,0)</f>
        <v>0</v>
      </c>
      <c r="I89" s="4">
        <f>IF(sub_notes_mat_yr=I5,Bal_Sheet!J51,0)</f>
        <v>0</v>
      </c>
      <c r="J89" s="4">
        <f>IF(sub_notes_mat_yr=J5,Bal_Sheet!K51,0)</f>
        <v>0</v>
      </c>
      <c r="K89" s="4">
        <f>IF(sub_notes_mat_yr=K5,Bal_Sheet!L51,0)</f>
        <v>0</v>
      </c>
      <c r="L89" s="4">
        <f>IF(sub_notes_mat_yr=L5,Bal_Sheet!M51,0)</f>
        <v>0</v>
      </c>
      <c r="M89" s="4">
        <f>IF(sub_notes_mat_yr=M5,Bal_Sheet!N51,0)</f>
        <v>0</v>
      </c>
      <c r="N89" s="4"/>
      <c r="O89" s="4"/>
    </row>
    <row r="90" spans="1:15" ht="12.75">
      <c r="A90" s="67" t="str">
        <f>Bal_Sheet!A52</f>
        <v>Mezzanine Debt</v>
      </c>
      <c r="B90" s="8"/>
      <c r="C90" s="8"/>
      <c r="D90" s="4">
        <f>IF(mezzdebt_maturity_year=D5,Bal_Sheet!E52,0)</f>
        <v>0</v>
      </c>
      <c r="E90" s="4">
        <f>IF(mezzdebt_maturity_year=E5,Bal_Sheet!F52,0)</f>
        <v>0</v>
      </c>
      <c r="F90" s="4">
        <f>IF(mezzdebt_maturity_year=F5,Bal_Sheet!G52,0)</f>
        <v>0</v>
      </c>
      <c r="G90" s="4">
        <f>IF(mezzdebt_maturity_year=G5,Bal_Sheet!H52,0)</f>
        <v>0</v>
      </c>
      <c r="H90" s="4">
        <f>IF(mezzdebt_maturity_year=H5,Bal_Sheet!I52,0)</f>
        <v>0</v>
      </c>
      <c r="I90" s="4">
        <f>IF(mezzdebt_maturity_year=I5,Bal_Sheet!J52,0)</f>
        <v>0</v>
      </c>
      <c r="J90" s="4">
        <f>IF(mezzdebt_maturity_year=J5,Bal_Sheet!K52,0)</f>
        <v>0</v>
      </c>
      <c r="K90" s="4">
        <f>IF(mezzdebt_maturity_year=K5,Bal_Sheet!L52,0)</f>
        <v>0</v>
      </c>
      <c r="L90" s="4">
        <f>IF(mezzdebt_maturity_year=L5,Bal_Sheet!M52,0)</f>
        <v>0</v>
      </c>
      <c r="M90" s="4">
        <f>IF(mezzdebt_maturity_year=M5,Bal_Sheet!N52,0)</f>
        <v>0</v>
      </c>
      <c r="N90" s="4"/>
      <c r="O90" s="4"/>
    </row>
    <row r="91" spans="1:15" ht="12.75">
      <c r="A91" s="67" t="str">
        <f>Bal_Sheet!A53</f>
        <v>Seller Notes</v>
      </c>
      <c r="B91" s="8"/>
      <c r="C91" s="8"/>
      <c r="D91" s="4">
        <f>IF(seller_notes_term_year=D5,Bal_Sheet!E53,IF(seller_notes_term_year&gt;D5,MIN(Bal_Sheet!E53,Input!$C$33*seller_notes_ann_repay),0))</f>
        <v>3571.428571428571</v>
      </c>
      <c r="E91" s="4">
        <f>IF(seller_notes_term_year=E5,Bal_Sheet!F53,IF(seller_notes_term_year&gt;E5,MIN(Bal_Sheet!F53,Input!$C$33*seller_notes_ann_repay),0))</f>
        <v>3571.428571428571</v>
      </c>
      <c r="F91" s="4">
        <f>IF(seller_notes_term_year=F5,Bal_Sheet!G53,IF(seller_notes_term_year&gt;F5,MIN(Bal_Sheet!G53,Input!$C$33*seller_notes_ann_repay),0))</f>
        <v>3571.428571428571</v>
      </c>
      <c r="G91" s="4">
        <f>IF(seller_notes_term_year=G5,Bal_Sheet!H53,IF(seller_notes_term_year&gt;G5,MIN(Bal_Sheet!H53,Input!$C$33*seller_notes_ann_repay),0))</f>
        <v>3571.428571428571</v>
      </c>
      <c r="H91" s="4">
        <f>IF(seller_notes_term_year=H5,Bal_Sheet!I53,IF(seller_notes_term_year&gt;H5,MIN(Bal_Sheet!I53,Input!$C$33*seller_notes_ann_repay),0))</f>
        <v>3571.428571428571</v>
      </c>
      <c r="I91" s="4">
        <f>IF(seller_notes_term_year=I5,Bal_Sheet!J53,IF(seller_notes_term_year&gt;I5,MIN(Bal_Sheet!J53,Input!$C$33*seller_notes_ann_repay),0))</f>
        <v>3571.428571428571</v>
      </c>
      <c r="J91" s="4">
        <f>IF(seller_notes_term_year=J5,Bal_Sheet!K53,IF(seller_notes_term_year&gt;J5,MIN(Bal_Sheet!K53,Input!$C$33*seller_notes_ann_repay),0))</f>
        <v>0</v>
      </c>
      <c r="K91" s="4">
        <f>IF(seller_notes_term_year=K5,Bal_Sheet!L53,IF(seller_notes_term_year&gt;K5,MIN(Bal_Sheet!L53,Input!$C$33*seller_notes_ann_repay),0))</f>
        <v>0</v>
      </c>
      <c r="L91" s="4">
        <f>IF(seller_notes_term_year=L5,Bal_Sheet!M53,IF(seller_notes_term_year&gt;L5,MIN(Bal_Sheet!M53,Input!$C$33*seller_notes_ann_repay),0))</f>
        <v>0</v>
      </c>
      <c r="M91" s="4">
        <f>IF(seller_notes_term_year=M5,Bal_Sheet!N53,IF(seller_notes_term_year&gt;M5,MIN(Bal_Sheet!N53,Input!$C$33*seller_notes_ann_repay),0))</f>
        <v>0</v>
      </c>
      <c r="N91" s="4"/>
      <c r="O91" s="4"/>
    </row>
    <row r="92" spans="1:15" ht="12.75">
      <c r="A92" s="117" t="str">
        <f>Bal_Sheet!A61</f>
        <v>Preferred Stock</v>
      </c>
      <c r="B92" s="8"/>
      <c r="C92" s="8"/>
      <c r="D92" s="4">
        <f>IF(pref_stock_retired_year=D5,Bal_Sheet!E61,0)</f>
        <v>0</v>
      </c>
      <c r="E92" s="4">
        <f>IF(pref_stock_retired_year=E5,Bal_Sheet!F61,0)</f>
        <v>0</v>
      </c>
      <c r="F92" s="4">
        <f>IF(pref_stock_retired_year=F5,Bal_Sheet!G61,0)</f>
        <v>0</v>
      </c>
      <c r="G92" s="4">
        <f>IF(pref_stock_retired_year=G5,Bal_Sheet!H61,0)</f>
        <v>0</v>
      </c>
      <c r="H92" s="4">
        <f>IF(pref_stock_retired_year=H5,Bal_Sheet!I61,0)</f>
        <v>0</v>
      </c>
      <c r="I92" s="4">
        <f>IF(pref_stock_retired_year=I5,Bal_Sheet!J61,0)</f>
        <v>0</v>
      </c>
      <c r="J92" s="4">
        <f>IF(pref_stock_retired_year=J5,Bal_Sheet!K61,0)</f>
        <v>0</v>
      </c>
      <c r="K92" s="4">
        <f>IF(pref_stock_retired_year=K5,Bal_Sheet!L61,0)</f>
        <v>0</v>
      </c>
      <c r="L92" s="4">
        <f>IF(pref_stock_retired_year=L5,Bal_Sheet!M61,0)</f>
        <v>0</v>
      </c>
      <c r="M92" s="4">
        <f>IF(pref_stock_retired_year=M5,Bal_Sheet!N61,0)</f>
        <v>0</v>
      </c>
      <c r="N92" s="4"/>
      <c r="O92" s="4"/>
    </row>
    <row r="93" spans="1:15" ht="12.75">
      <c r="A93" s="8" t="s">
        <v>213</v>
      </c>
      <c r="B93" s="8"/>
      <c r="C93" s="8"/>
      <c r="D93" s="4">
        <f>SUM(D85:D92)</f>
        <v>22993.650793650795</v>
      </c>
      <c r="E93" s="4">
        <f aca="true" t="shared" si="27" ref="E93:M93">SUM(E85:E92)</f>
        <v>22993.650793650795</v>
      </c>
      <c r="F93" s="4">
        <f t="shared" si="27"/>
        <v>15771.42857142857</v>
      </c>
      <c r="G93" s="4">
        <f t="shared" si="27"/>
        <v>5771.428571428571</v>
      </c>
      <c r="H93" s="4">
        <f t="shared" si="27"/>
        <v>3571.428571428513</v>
      </c>
      <c r="I93" s="4">
        <f t="shared" si="27"/>
        <v>3571.428571428513</v>
      </c>
      <c r="J93" s="4">
        <f t="shared" si="27"/>
        <v>0</v>
      </c>
      <c r="K93" s="4">
        <f t="shared" si="27"/>
        <v>1.7462298274040222E-10</v>
      </c>
      <c r="L93" s="4">
        <f t="shared" si="27"/>
        <v>1.7462298274040222E-10</v>
      </c>
      <c r="M93" s="4">
        <f t="shared" si="27"/>
        <v>1.0477378964424133E-09</v>
      </c>
      <c r="N93" s="4"/>
      <c r="O93" s="4"/>
    </row>
    <row r="94" spans="1:15" ht="12.75">
      <c r="A94" s="8"/>
      <c r="B94" s="8"/>
      <c r="C94" s="8"/>
      <c r="D94" s="4"/>
      <c r="E94" s="4"/>
      <c r="F94" s="4"/>
      <c r="G94" s="4"/>
      <c r="H94" s="4"/>
      <c r="I94" s="4"/>
      <c r="J94" s="4"/>
      <c r="K94" s="4"/>
      <c r="L94" s="4"/>
      <c r="M94" s="4"/>
      <c r="N94" s="4"/>
      <c r="O94" s="4"/>
    </row>
    <row r="95" spans="1:15" ht="12.75">
      <c r="A95" s="8" t="s">
        <v>214</v>
      </c>
      <c r="B95" s="8"/>
      <c r="C95" s="8"/>
      <c r="D95" s="4">
        <f>D82-D93</f>
        <v>-12582.93198869249</v>
      </c>
      <c r="E95" s="4">
        <f aca="true" t="shared" si="28" ref="E95:M95">E82-E93</f>
        <v>53291.98399036983</v>
      </c>
      <c r="F95" s="4">
        <f t="shared" si="28"/>
        <v>66572.4798448205</v>
      </c>
      <c r="G95" s="4">
        <f t="shared" si="28"/>
        <v>86071.8984315644</v>
      </c>
      <c r="H95" s="4">
        <f t="shared" si="28"/>
        <v>104298.8086874009</v>
      </c>
      <c r="I95" s="4">
        <f t="shared" si="28"/>
        <v>99262.83174858389</v>
      </c>
      <c r="J95" s="4">
        <f t="shared" si="28"/>
        <v>103698.12750384017</v>
      </c>
      <c r="K95" s="4">
        <f t="shared" si="28"/>
        <v>141948.1772730279</v>
      </c>
      <c r="L95" s="4">
        <f t="shared" si="28"/>
        <v>213486.0034852089</v>
      </c>
      <c r="M95" s="4">
        <f t="shared" si="28"/>
        <v>302890.01909942913</v>
      </c>
      <c r="N95" s="4"/>
      <c r="O95" s="4"/>
    </row>
    <row r="96" spans="1:15" ht="12.75">
      <c r="A96" s="134" t="s">
        <v>217</v>
      </c>
      <c r="B96" s="8"/>
      <c r="C96" s="8"/>
      <c r="D96" s="4">
        <f>MIN(revolver_limit-Bal_Sheet!E47,MAX(-D95,0))</f>
        <v>12582.93198869249</v>
      </c>
      <c r="E96" s="4">
        <f>MIN(revolver_limit-Bal_Sheet!F47,MAX(-E95,0))</f>
        <v>0</v>
      </c>
      <c r="F96" s="4">
        <f>MIN(revolver_limit-Bal_Sheet!G47,MAX(-F95,0))</f>
        <v>0</v>
      </c>
      <c r="G96" s="4">
        <f>MIN(revolver_limit-Bal_Sheet!H47,MAX(-G95,0))</f>
        <v>0</v>
      </c>
      <c r="H96" s="4">
        <f>MIN(revolver_limit-Bal_Sheet!I47,MAX(-H95,0))</f>
        <v>0</v>
      </c>
      <c r="I96" s="4">
        <f>MIN(revolver_limit-Bal_Sheet!J47,MAX(-I95,0))</f>
        <v>0</v>
      </c>
      <c r="J96" s="4">
        <f>MIN(revolver_limit-Bal_Sheet!K47,MAX(-J95,0))</f>
        <v>0</v>
      </c>
      <c r="K96" s="4">
        <f>MIN(revolver_limit-Bal_Sheet!L47,MAX(-K95,0))</f>
        <v>0</v>
      </c>
      <c r="L96" s="4">
        <f>MIN(revolver_limit-Bal_Sheet!M47,MAX(-L95,0))</f>
        <v>0</v>
      </c>
      <c r="M96" s="4">
        <f>MIN(revolver_limit-Bal_Sheet!N47,MAX(-M95,0))</f>
        <v>0</v>
      </c>
      <c r="N96" s="4"/>
      <c r="O96" s="4"/>
    </row>
    <row r="97" spans="1:15" ht="12.75">
      <c r="A97" s="8" t="s">
        <v>216</v>
      </c>
      <c r="B97" s="8"/>
      <c r="C97" s="8"/>
      <c r="D97" s="4">
        <f>SUM(D95:D96)</f>
        <v>0</v>
      </c>
      <c r="E97" s="4">
        <f aca="true" t="shared" si="29" ref="E97:M97">SUM(E95:E96)</f>
        <v>53291.98399036983</v>
      </c>
      <c r="F97" s="4">
        <f t="shared" si="29"/>
        <v>66572.4798448205</v>
      </c>
      <c r="G97" s="4">
        <f t="shared" si="29"/>
        <v>86071.8984315644</v>
      </c>
      <c r="H97" s="4">
        <f t="shared" si="29"/>
        <v>104298.8086874009</v>
      </c>
      <c r="I97" s="4">
        <f t="shared" si="29"/>
        <v>99262.83174858389</v>
      </c>
      <c r="J97" s="4">
        <f t="shared" si="29"/>
        <v>103698.12750384017</v>
      </c>
      <c r="K97" s="4">
        <f t="shared" si="29"/>
        <v>141948.1772730279</v>
      </c>
      <c r="L97" s="4">
        <f t="shared" si="29"/>
        <v>213486.0034852089</v>
      </c>
      <c r="M97" s="4">
        <f t="shared" si="29"/>
        <v>302890.01909942913</v>
      </c>
      <c r="N97" s="4"/>
      <c r="O97" s="4"/>
    </row>
    <row r="98" spans="1:15" ht="12.75">
      <c r="A98" s="8"/>
      <c r="B98" s="8"/>
      <c r="C98" s="8"/>
      <c r="D98" s="4"/>
      <c r="E98" s="4"/>
      <c r="F98" s="4"/>
      <c r="G98" s="4"/>
      <c r="H98" s="4"/>
      <c r="I98" s="4"/>
      <c r="J98" s="4"/>
      <c r="K98" s="4"/>
      <c r="L98" s="4"/>
      <c r="M98" s="4"/>
      <c r="N98" s="4"/>
      <c r="O98" s="4"/>
    </row>
    <row r="99" spans="1:15" ht="12.75">
      <c r="A99" s="135" t="s">
        <v>212</v>
      </c>
      <c r="B99" s="8"/>
      <c r="C99" s="8"/>
      <c r="D99" s="4"/>
      <c r="E99" s="4"/>
      <c r="F99" s="4"/>
      <c r="G99" s="4"/>
      <c r="H99" s="4"/>
      <c r="I99" s="4"/>
      <c r="J99" s="4"/>
      <c r="K99" s="4"/>
      <c r="L99" s="4"/>
      <c r="M99" s="4"/>
      <c r="N99" s="4"/>
      <c r="O99" s="4"/>
    </row>
    <row r="100" spans="1:15" ht="12.75">
      <c r="A100" s="67" t="str">
        <f>Bal_Sheet!A46</f>
        <v>Existing Debt</v>
      </c>
      <c r="B100" s="8"/>
      <c r="C100" s="8"/>
      <c r="D100" s="4">
        <f>IF(AND(assumed_debt_prepay=1,D$5&lt;=assumed_debt_maturity_year),MIN(Bal_Sheet!E46-D85,MAX(D$97,0)),0)</f>
        <v>0</v>
      </c>
      <c r="E100" s="4">
        <f>IF(AND(assumed_debt_prepay=1,E$5&lt;=assumed_debt_maturity_year),MIN(Bal_Sheet!F46-E85,MAX(E$97,0)),0)</f>
        <v>50555.55555555556</v>
      </c>
      <c r="F100" s="4">
        <f>IF(AND(assumed_debt_prepay=1,F$5&lt;=assumed_debt_maturity_year),MIN(Bal_Sheet!G46-F85,MAX(F$97,0)),0)</f>
        <v>0</v>
      </c>
      <c r="G100" s="4">
        <f>IF(AND(assumed_debt_prepay=1,G$5&lt;=assumed_debt_maturity_year),MIN(Bal_Sheet!H46-G85,MAX(G$97,0)),0)</f>
        <v>0</v>
      </c>
      <c r="H100" s="4">
        <f>IF(AND(assumed_debt_prepay=1,H$5&lt;=assumed_debt_maturity_year),MIN(Bal_Sheet!I46-H85,MAX(H$97,0)),0)</f>
        <v>0</v>
      </c>
      <c r="I100" s="4">
        <f>IF(AND(assumed_debt_prepay=1,I$5&lt;=assumed_debt_maturity_year),MIN(Bal_Sheet!J46-I85,MAX(I$97,0)),0)</f>
        <v>0</v>
      </c>
      <c r="J100" s="4">
        <f>IF(AND(assumed_debt_prepay=1,J$5&lt;=assumed_debt_maturity_year),MIN(Bal_Sheet!K46-J85,MAX(J$97,0)),0)</f>
        <v>0</v>
      </c>
      <c r="K100" s="4">
        <f>IF(AND(assumed_debt_prepay=1,K$5&lt;=assumed_debt_maturity_year),MIN(Bal_Sheet!L46-K85,MAX(K$97,0)),0)</f>
        <v>0</v>
      </c>
      <c r="L100" s="4">
        <f>IF(AND(assumed_debt_prepay=1,L$5&lt;=assumed_debt_maturity_year),MIN(Bal_Sheet!M46-L85,MAX(L$97,0)),0)</f>
        <v>0</v>
      </c>
      <c r="M100" s="4">
        <f>IF(AND(assumed_debt_prepay=1,M$5&lt;=assumed_debt_maturity_year),MIN(Bal_Sheet!N46-M85,MAX(M$97,0)),0)</f>
        <v>0</v>
      </c>
      <c r="N100" s="4"/>
      <c r="O100" s="4"/>
    </row>
    <row r="101" spans="1:15" ht="12.75">
      <c r="A101" s="67" t="str">
        <f>Bal_Sheet!A48</f>
        <v>Term Loan "A"</v>
      </c>
      <c r="B101" s="8"/>
      <c r="C101" s="8"/>
      <c r="D101" s="4">
        <f>IF(AND(termloanA_prepay=1,D$5&lt;=termloanA_term_years),MIN(Bal_Sheet!E48-D86,MAX(D$97-SUM(D$100:D100),0)),0)</f>
        <v>0</v>
      </c>
      <c r="E101" s="4">
        <f>IF(AND(termloanA_prepay=1,E$5&lt;=termloanA_term_years),MIN(Bal_Sheet!F48-E86,MAX(E$97-SUM(E$100:E100),0)),0)</f>
        <v>2736.4284348142683</v>
      </c>
      <c r="F101" s="4">
        <f>IF(AND(termloanA_prepay=1,F$5&lt;=termloanA_term_years),MIN(Bal_Sheet!G48-F86,MAX(F$97-SUM(F$100:F100),0)),0)</f>
        <v>47263.57156518573</v>
      </c>
      <c r="G101" s="4">
        <f>IF(AND(termloanA_prepay=1,G$5&lt;=termloanA_term_years),MIN(Bal_Sheet!H48-G86,MAX(G$97-SUM(G$100:G100),0)),0)</f>
        <v>0</v>
      </c>
      <c r="H101" s="4">
        <f>IF(AND(termloanA_prepay=1,H$5&lt;=termloanA_term_years),MIN(Bal_Sheet!I48-H86,MAX(H$97-SUM(H$100:H100),0)),0)</f>
        <v>0</v>
      </c>
      <c r="I101" s="4">
        <f>IF(AND(termloanA_prepay=1,I$5&lt;=termloanA_term_years),MIN(Bal_Sheet!J48-I86,MAX(I$97-SUM(I$100:I100),0)),0)</f>
        <v>0</v>
      </c>
      <c r="J101" s="4">
        <f>IF(AND(termloanA_prepay=1,J$5&lt;=termloanA_term_years),MIN(Bal_Sheet!K48-J86,MAX(J$97-SUM(J$100:J100),0)),0)</f>
        <v>0</v>
      </c>
      <c r="K101" s="4">
        <f>IF(AND(termloanA_prepay=1,K$5&lt;=termloanA_term_years),MIN(Bal_Sheet!L48-K86,MAX(K$97-SUM(K$100:K100),0)),0)</f>
        <v>0</v>
      </c>
      <c r="L101" s="4">
        <f>IF(AND(termloanA_prepay=1,L$5&lt;=termloanA_term_years),MIN(Bal_Sheet!M48-L86,MAX(L$97-SUM(L$100:L100),0)),0)</f>
        <v>0</v>
      </c>
      <c r="M101" s="4">
        <f>IF(AND(termloanA_prepay=1,M$5&lt;=termloanA_term_years),MIN(Bal_Sheet!N48-M86,MAX(M$97-SUM(M$100:M100),0)),0)</f>
        <v>0</v>
      </c>
      <c r="N101" s="4"/>
      <c r="O101" s="4"/>
    </row>
    <row r="102" spans="1:15" ht="12.75">
      <c r="A102" s="67" t="str">
        <f>Bal_Sheet!A49</f>
        <v>Term Loan "B"</v>
      </c>
      <c r="B102" s="8"/>
      <c r="C102" s="8"/>
      <c r="D102" s="4">
        <f>IF(AND(termloanB_prepay=1,D$5&lt;=termloanB_term_years),MIN(Bal_Sheet!E49-D87,MAX(D$97-SUM(D$100:D101),0)),0)</f>
        <v>0</v>
      </c>
      <c r="E102" s="4">
        <f>IF(AND(termloanB_prepay=1,E$5&lt;=termloanB_term_years),MIN(Bal_Sheet!F49-E87,MAX(E$97-SUM(E$100:E101),0)),0)</f>
        <v>0</v>
      </c>
      <c r="F102" s="4">
        <f>IF(AND(termloanB_prepay=1,F$5&lt;=termloanB_term_years),MIN(Bal_Sheet!G49-F87,MAX(F$97-SUM(F$100:F101),0)),0)</f>
        <v>19308.908279634765</v>
      </c>
      <c r="G102" s="4">
        <f>IF(AND(termloanB_prepay=1,G$5&lt;=termloanB_term_years),MIN(Bal_Sheet!H49-G87,MAX(G$97-SUM(G$100:G101),0)),0)</f>
        <v>26891.091720365177</v>
      </c>
      <c r="H102" s="4">
        <f>IF(AND(termloanB_prepay=1,H$5&lt;=termloanB_term_years),MIN(Bal_Sheet!I49-H87,MAX(H$97-SUM(H$100:H101),0)),0)</f>
        <v>0</v>
      </c>
      <c r="I102" s="4">
        <f>IF(AND(termloanB_prepay=1,I$5&lt;=termloanB_term_years),MIN(Bal_Sheet!J49-I87,MAX(I$97-SUM(I$100:I101),0)),0)</f>
        <v>0</v>
      </c>
      <c r="J102" s="4">
        <f>IF(AND(termloanB_prepay=1,J$5&lt;=termloanB_term_years),MIN(Bal_Sheet!K49-J87,MAX(J$97-SUM(J$100:J101),0)),0)</f>
        <v>0</v>
      </c>
      <c r="K102" s="4">
        <f>IF(AND(termloanB_prepay=1,K$5&lt;=termloanB_term_years),MIN(Bal_Sheet!L49-K87,MAX(K$97-SUM(K$100:K101),0)),0)</f>
        <v>0</v>
      </c>
      <c r="L102" s="4">
        <f>IF(AND(termloanB_prepay=1,L$5&lt;=termloanB_term_years),MIN(Bal_Sheet!M49-L87,MAX(L$97-SUM(L$100:L101),0)),0)</f>
        <v>0</v>
      </c>
      <c r="M102" s="4">
        <f>IF(AND(termloanB_prepay=1,M$5&lt;=termloanB_term_years),MIN(Bal_Sheet!N49-M87,MAX(M$97-SUM(M$100:M101),0)),0)</f>
        <v>0</v>
      </c>
      <c r="N102" s="4"/>
      <c r="O102" s="4"/>
    </row>
    <row r="103" spans="1:15" ht="12.75">
      <c r="A103" s="67" t="str">
        <f>Bal_Sheet!A50</f>
        <v>Senior Notes</v>
      </c>
      <c r="B103" s="8"/>
      <c r="C103" s="8"/>
      <c r="D103" s="4">
        <f>IF(AND(senior_notes_prepay=1,D$5&lt;=senior_notes_mat_yr),MIN(Bal_Sheet!E50-D88,MAX(D$97-SUM(D$100:D102),0)),0)</f>
        <v>0</v>
      </c>
      <c r="E103" s="4">
        <f>IF(AND(senior_notes_prepay=1,E$5&lt;=senior_notes_mat_yr),MIN(Bal_Sheet!F50-E88,MAX(E$97-SUM(E$100:E102),0)),0)</f>
        <v>0</v>
      </c>
      <c r="F103" s="4">
        <f>IF(AND(senior_notes_prepay=1,F$5&lt;=senior_notes_mat_yr),MIN(Bal_Sheet!G50-F88,MAX(F$97-SUM(F$100:F102),0)),0)</f>
        <v>0</v>
      </c>
      <c r="G103" s="4">
        <f>IF(AND(senior_notes_prepay=1,G$5&lt;=senior_notes_mat_yr),MIN(Bal_Sheet!H50-G88,MAX(G$97-SUM(G$100:G102),0)),0)</f>
        <v>59180.80671119923</v>
      </c>
      <c r="H103" s="4">
        <f>IF(AND(senior_notes_prepay=1,H$5&lt;=senior_notes_mat_yr),MIN(Bal_Sheet!I50-H88,MAX(H$97-SUM(H$100:H102),0)),0)</f>
        <v>5819.193288800772</v>
      </c>
      <c r="I103" s="4">
        <f>IF(AND(senior_notes_prepay=1,I$5&lt;=senior_notes_mat_yr),MIN(Bal_Sheet!J50-I88,MAX(I$97-SUM(I$100:I102),0)),0)</f>
        <v>-1.1641532182693481E-10</v>
      </c>
      <c r="J103" s="4">
        <f>IF(AND(senior_notes_prepay=1,J$5&lt;=senior_notes_mat_yr),MIN(Bal_Sheet!K50-J88,MAX(J$97-SUM(J$100:J102),0)),0)</f>
        <v>-2.3283064365386963E-10</v>
      </c>
      <c r="K103" s="4">
        <f>IF(AND(senior_notes_prepay=1,K$5&lt;=senior_notes_mat_yr),MIN(Bal_Sheet!L50-K88,MAX(K$97-SUM(K$100:K102),0)),0)</f>
        <v>-3.4924596548080444E-10</v>
      </c>
      <c r="L103" s="4">
        <f>IF(AND(senior_notes_prepay=1,L$5&lt;=senior_notes_mat_yr),MIN(Bal_Sheet!M50-L88,MAX(L$97-SUM(L$100:L102),0)),0)</f>
        <v>0</v>
      </c>
      <c r="M103" s="4">
        <f>IF(AND(senior_notes_prepay=1,M$5&lt;=senior_notes_mat_yr),MIN(Bal_Sheet!N50-M88,MAX(M$97-SUM(M$100:M102),0)),0)</f>
        <v>0</v>
      </c>
      <c r="N103" s="4"/>
      <c r="O103" s="4"/>
    </row>
    <row r="104" spans="1:15" ht="12.75">
      <c r="A104" s="67" t="str">
        <f>Bal_Sheet!A51</f>
        <v>Subordinated Notes</v>
      </c>
      <c r="B104" s="8"/>
      <c r="C104" s="8"/>
      <c r="D104" s="4">
        <f>IF(AND(sub_notes_prepay=1,D$5&lt;=sub_notes_mat_yr),MIN(Bal_Sheet!E51-D89,MAX(D$97-SUM(D$100:D103),0)),0)</f>
        <v>0</v>
      </c>
      <c r="E104" s="4">
        <f>IF(AND(sub_notes_prepay=1,E$5&lt;=sub_notes_mat_yr),MIN(Bal_Sheet!F51-E89,MAX(E$97-SUM(E$100:E103),0)),0)</f>
        <v>0</v>
      </c>
      <c r="F104" s="4">
        <f>IF(AND(sub_notes_prepay=1,F$5&lt;=sub_notes_mat_yr),MIN(Bal_Sheet!G51-F89,MAX(F$97-SUM(F$100:F103),0)),0)</f>
        <v>0</v>
      </c>
      <c r="G104" s="4">
        <f>IF(AND(sub_notes_prepay=1,G$5&lt;=sub_notes_mat_yr),MIN(Bal_Sheet!H51-G89,MAX(G$97-SUM(G$100:G103),0)),0)</f>
        <v>0</v>
      </c>
      <c r="H104" s="4">
        <f>IF(AND(sub_notes_prepay=1,H$5&lt;=sub_notes_mat_yr),MIN(Bal_Sheet!I51-H89,MAX(H$97-SUM(H$100:H103),0)),0)</f>
        <v>47700.744025</v>
      </c>
      <c r="I104" s="4">
        <f>IF(AND(sub_notes_prepay=1,I$5&lt;=sub_notes_mat_yr),MIN(Bal_Sheet!J51-I89,MAX(I$97-SUM(I$100:I103),0)),0)</f>
        <v>2146.5334811249995</v>
      </c>
      <c r="J104" s="4">
        <f>IF(AND(sub_notes_prepay=1,J$5&lt;=sub_notes_mat_yr),MIN(Bal_Sheet!K51-J89,MAX(J$97-SUM(J$100:J103),0)),0)</f>
        <v>0</v>
      </c>
      <c r="K104" s="4">
        <f>IF(AND(sub_notes_prepay=1,K$5&lt;=sub_notes_mat_yr),MIN(Bal_Sheet!L51-K89,MAX(K$97-SUM(K$100:K103),0)),0)</f>
        <v>0</v>
      </c>
      <c r="L104" s="4">
        <f>IF(AND(sub_notes_prepay=1,L$5&lt;=sub_notes_mat_yr),MIN(Bal_Sheet!M51-L89,MAX(L$97-SUM(L$100:L103),0)),0)</f>
        <v>0</v>
      </c>
      <c r="M104" s="4">
        <f>IF(AND(sub_notes_prepay=1,M$5&lt;=sub_notes_mat_yr),MIN(Bal_Sheet!N51-M89,MAX(M$97-SUM(M$100:M103),0)),0)</f>
        <v>0</v>
      </c>
      <c r="N104" s="4"/>
      <c r="O104" s="4"/>
    </row>
    <row r="105" spans="1:15" ht="12.75">
      <c r="A105" s="67" t="str">
        <f>Bal_Sheet!A52</f>
        <v>Mezzanine Debt</v>
      </c>
      <c r="B105" s="8"/>
      <c r="C105" s="8"/>
      <c r="D105" s="4">
        <f>IF(AND(mezzdebt_prepay=1,D$5&lt;=mezzdebt_maturity_year),MIN(Bal_Sheet!E52-D90,MAX(D$97-SUM(D$100:D104),0)),0)</f>
        <v>0</v>
      </c>
      <c r="E105" s="4">
        <f>IF(AND(mezzdebt_prepay=1,E$5&lt;=mezzdebt_maturity_year),MIN(Bal_Sheet!F52-E90,MAX(E$97-SUM(E$100:E104),0)),0)</f>
        <v>0</v>
      </c>
      <c r="F105" s="4">
        <f>IF(AND(mezzdebt_prepay=1,F$5&lt;=mezzdebt_maturity_year),MIN(Bal_Sheet!G52-F90,MAX(F$97-SUM(F$100:F104),0)),0)</f>
        <v>0</v>
      </c>
      <c r="G105" s="4">
        <f>IF(AND(mezzdebt_prepay=1,G$5&lt;=mezzdebt_maturity_year),MIN(Bal_Sheet!H52-G90,MAX(G$97-SUM(G$100:G104),0)),0)</f>
        <v>0</v>
      </c>
      <c r="H105" s="4">
        <f>IF(AND(mezzdebt_prepay=1,H$5&lt;=mezzdebt_maturity_year),MIN(Bal_Sheet!I52-H90,MAX(H$97-SUM(H$100:H104),0)),0)</f>
        <v>50778.87137360013</v>
      </c>
      <c r="I105" s="4">
        <f>IF(AND(mezzdebt_prepay=1,I$5&lt;=mezzdebt_maturity_year),MIN(Bal_Sheet!J52-I90,MAX(I$97-SUM(I$100:I104),0)),0)</f>
        <v>36453.8642621188</v>
      </c>
      <c r="J105" s="4">
        <f>IF(AND(mezzdebt_prepay=1,J$5&lt;=mezzdebt_maturity_year),MIN(Bal_Sheet!K52-J90,MAX(J$97-SUM(J$100:J104),0)),0)</f>
        <v>5.820766091346741E-11</v>
      </c>
      <c r="K105" s="4">
        <f>IF(AND(mezzdebt_prepay=1,K$5&lt;=mezzdebt_maturity_year),MIN(Bal_Sheet!L52-K90,MAX(K$97-SUM(K$100:K104),0)),0)</f>
        <v>-5.820766091346741E-11</v>
      </c>
      <c r="L105" s="4">
        <f>IF(AND(mezzdebt_prepay=1,L$5&lt;=mezzdebt_maturity_year),MIN(Bal_Sheet!M52-L90,MAX(L$97-SUM(L$100:L104),0)),0)</f>
        <v>-3.4924596548080444E-10</v>
      </c>
      <c r="M105" s="4">
        <f>IF(AND(mezzdebt_prepay=1,M$5&lt;=mezzdebt_maturity_year),MIN(Bal_Sheet!N52-M90,MAX(M$97-SUM(M$100:M104),0)),0)</f>
        <v>-8.731149137020111E-10</v>
      </c>
      <c r="N105" s="4"/>
      <c r="O105" s="4"/>
    </row>
    <row r="106" spans="1:15" ht="12.75">
      <c r="A106" s="67" t="str">
        <f>Bal_Sheet!A53</f>
        <v>Seller Notes</v>
      </c>
      <c r="B106" s="8"/>
      <c r="C106" s="8"/>
      <c r="D106" s="4">
        <f>IF(AND(seller_notes_prepay=1,D$5&lt;=seller_notes_term_year),MIN(Bal_Sheet!E53-D91,MAX(D$97-SUM(D$100:D105),0)),0)</f>
        <v>0</v>
      </c>
      <c r="E106" s="4">
        <f>IF(AND(seller_notes_prepay=1,E$5&lt;=seller_notes_term_year),MIN(Bal_Sheet!F53-E91,MAX(E$97-SUM(E$100:E105),0)),0)</f>
        <v>0</v>
      </c>
      <c r="F106" s="4">
        <f>IF(AND(seller_notes_prepay=1,F$5&lt;=seller_notes_term_year),MIN(Bal_Sheet!G53-F91,MAX(F$97-SUM(F$100:F105),0)),0)</f>
        <v>0</v>
      </c>
      <c r="G106" s="4">
        <f>IF(AND(seller_notes_prepay=1,G$5&lt;=seller_notes_term_year),MIN(Bal_Sheet!H53-G91,MAX(G$97-SUM(G$100:G105),0)),0)</f>
        <v>0</v>
      </c>
      <c r="H106" s="4">
        <f>IF(AND(seller_notes_prepay=1,H$5&lt;=seller_notes_term_year),MIN(Bal_Sheet!I53-H91,MAX(H$97-SUM(H$100:H105),0)),0)</f>
        <v>0</v>
      </c>
      <c r="I106" s="4">
        <f>IF(AND(seller_notes_prepay=1,I$5&lt;=seller_notes_term_year),MIN(Bal_Sheet!J53-I91,MAX(I$97-SUM(I$100:I105),0)),0)</f>
        <v>8509.440765631856</v>
      </c>
      <c r="J106" s="4">
        <f>IF(AND(seller_notes_prepay=1,J$5&lt;=seller_notes_term_year),MIN(Bal_Sheet!K53-J91,MAX(J$97-SUM(J$100:J105),0)),0)</f>
        <v>0</v>
      </c>
      <c r="K106" s="4">
        <f>IF(AND(seller_notes_prepay=1,K$5&lt;=seller_notes_term_year),MIN(Bal_Sheet!L53-K91,MAX(K$97-SUM(K$100:K105),0)),0)</f>
        <v>0</v>
      </c>
      <c r="L106" s="4">
        <f>IF(AND(seller_notes_prepay=1,L$5&lt;=seller_notes_term_year),MIN(Bal_Sheet!M53-L91,MAX(L$97-SUM(L$100:L105),0)),0)</f>
        <v>0</v>
      </c>
      <c r="M106" s="4">
        <f>IF(AND(seller_notes_prepay=1,M$5&lt;=seller_notes_term_year),MIN(Bal_Sheet!N53-M91,MAX(M$97-SUM(M$100:M105),0)),0)</f>
        <v>0</v>
      </c>
      <c r="N106" s="4"/>
      <c r="O106" s="4"/>
    </row>
    <row r="107" spans="1:15" ht="12.75">
      <c r="A107" s="67" t="str">
        <f>Bal_Sheet!A47</f>
        <v>Bank Revolver</v>
      </c>
      <c r="B107" s="8"/>
      <c r="C107" s="8"/>
      <c r="D107" s="4">
        <f>MIN(Bal_Sheet!E47+D96,MAX(D$97-SUM(D$100:D106),0))</f>
        <v>0</v>
      </c>
      <c r="E107" s="4">
        <f>MIN(Bal_Sheet!F47+E96,MAX(E$97-SUM(E$100:E106),0))</f>
        <v>0</v>
      </c>
      <c r="F107" s="4">
        <f>MIN(Bal_Sheet!G47+F96,MAX(F$97-SUM(F$100:F106),0))</f>
        <v>0</v>
      </c>
      <c r="G107" s="4">
        <f>MIN(Bal_Sheet!H47+G96,MAX(G$97-SUM(G$100:G106),0))</f>
        <v>0</v>
      </c>
      <c r="H107" s="4">
        <f>MIN(Bal_Sheet!I47+H96,MAX(H$97-SUM(H$100:H106),0))</f>
        <v>0</v>
      </c>
      <c r="I107" s="4">
        <f>MIN(Bal_Sheet!J47+I96,MAX(I$97-SUM(I$100:I106),0))</f>
        <v>52152.993239708354</v>
      </c>
      <c r="J107" s="4">
        <f>MIN(Bal_Sheet!K47+J96,MAX(J$97-SUM(J$100:J106),0))</f>
        <v>103698.12750384034</v>
      </c>
      <c r="K107" s="4">
        <f>MIN(Bal_Sheet!L47+K96,MAX(K$97-SUM(K$100:K106),0))</f>
        <v>57619.3112451442</v>
      </c>
      <c r="L107" s="4">
        <f>MIN(Bal_Sheet!M47+L96,MAX(L$97-SUM(L$100:L106),0))</f>
        <v>-5.820766091346741E-11</v>
      </c>
      <c r="M107" s="4">
        <f>MIN(Bal_Sheet!N47+M96,MAX(M$97-SUM(M$100:M106),0))</f>
        <v>-5.238689482212067E-10</v>
      </c>
      <c r="N107" s="4"/>
      <c r="O107" s="4"/>
    </row>
    <row r="108" spans="1:14" ht="12.75">
      <c r="A108" s="8" t="s">
        <v>213</v>
      </c>
      <c r="B108" s="8"/>
      <c r="C108" s="8"/>
      <c r="D108" s="4">
        <f>SUM(D100:D107)</f>
        <v>0</v>
      </c>
      <c r="E108" s="4">
        <f aca="true" t="shared" si="30" ref="E108:M108">SUM(E100:E107)</f>
        <v>53291.98399036983</v>
      </c>
      <c r="F108" s="4">
        <f t="shared" si="30"/>
        <v>66572.4798448205</v>
      </c>
      <c r="G108" s="4">
        <f t="shared" si="30"/>
        <v>86071.8984315644</v>
      </c>
      <c r="H108" s="4">
        <f t="shared" si="30"/>
        <v>104298.8086874009</v>
      </c>
      <c r="I108" s="4">
        <f t="shared" si="30"/>
        <v>99262.83174858389</v>
      </c>
      <c r="J108" s="4">
        <f t="shared" si="30"/>
        <v>103698.12750384017</v>
      </c>
      <c r="K108" s="4">
        <f t="shared" si="30"/>
        <v>57619.31124514379</v>
      </c>
      <c r="L108" s="4">
        <f t="shared" si="30"/>
        <v>-4.0745362639427185E-10</v>
      </c>
      <c r="M108" s="4">
        <f t="shared" si="30"/>
        <v>-1.3969838619232178E-09</v>
      </c>
      <c r="N108" s="8"/>
    </row>
    <row r="109" spans="1:14" ht="12.75">
      <c r="A109" s="8"/>
      <c r="B109" s="8"/>
      <c r="C109" s="8"/>
      <c r="D109" s="4"/>
      <c r="E109" s="4"/>
      <c r="F109" s="4"/>
      <c r="G109" s="4"/>
      <c r="H109" s="4"/>
      <c r="I109" s="4"/>
      <c r="J109" s="4"/>
      <c r="K109" s="4"/>
      <c r="L109" s="4"/>
      <c r="M109" s="4"/>
      <c r="N109" s="8"/>
    </row>
    <row r="110" spans="1:14" ht="12.75">
      <c r="A110" s="50" t="s">
        <v>79</v>
      </c>
      <c r="B110" s="8"/>
      <c r="C110" s="8"/>
      <c r="D110" s="53">
        <f aca="true" t="shared" si="31" ref="D110:M110">D97-D108+IF(cash_min=1,cash_min_amt,0)</f>
        <v>50000</v>
      </c>
      <c r="E110" s="53">
        <f t="shared" si="31"/>
        <v>50000</v>
      </c>
      <c r="F110" s="53">
        <f t="shared" si="31"/>
        <v>50000</v>
      </c>
      <c r="G110" s="53">
        <f t="shared" si="31"/>
        <v>50000</v>
      </c>
      <c r="H110" s="53">
        <f t="shared" si="31"/>
        <v>50000</v>
      </c>
      <c r="I110" s="53">
        <f t="shared" si="31"/>
        <v>50000</v>
      </c>
      <c r="J110" s="53">
        <f t="shared" si="31"/>
        <v>50000</v>
      </c>
      <c r="K110" s="53">
        <f t="shared" si="31"/>
        <v>134328.8660278841</v>
      </c>
      <c r="L110" s="53">
        <f t="shared" si="31"/>
        <v>263486.0034852093</v>
      </c>
      <c r="M110" s="53">
        <f t="shared" si="31"/>
        <v>352890.01909943053</v>
      </c>
      <c r="N110" s="8"/>
    </row>
    <row r="111" spans="1:14" ht="12.75">
      <c r="A111" s="8"/>
      <c r="B111" s="8"/>
      <c r="C111" s="8"/>
      <c r="D111" s="4"/>
      <c r="E111" s="4"/>
      <c r="F111" s="4"/>
      <c r="G111" s="4"/>
      <c r="H111" s="4"/>
      <c r="I111" s="4"/>
      <c r="J111" s="4"/>
      <c r="K111" s="4"/>
      <c r="L111" s="4"/>
      <c r="M111" s="4"/>
      <c r="N111" s="8"/>
    </row>
    <row r="112" spans="1:14" ht="12.75">
      <c r="A112" s="8"/>
      <c r="B112" s="8"/>
      <c r="C112" s="8"/>
      <c r="D112" s="4"/>
      <c r="E112" s="4"/>
      <c r="F112" s="4"/>
      <c r="G112" s="4"/>
      <c r="H112" s="4"/>
      <c r="I112" s="4"/>
      <c r="J112" s="4"/>
      <c r="K112" s="4"/>
      <c r="L112" s="4"/>
      <c r="M112" s="4"/>
      <c r="N112" s="8"/>
    </row>
    <row r="113" spans="1:14" ht="12.75">
      <c r="A113" s="192" t="s">
        <v>296</v>
      </c>
      <c r="B113" s="8"/>
      <c r="C113" s="8"/>
      <c r="D113" s="4">
        <f>D55-D110</f>
        <v>0</v>
      </c>
      <c r="E113" s="4">
        <f aca="true" t="shared" si="32" ref="E113:M113">E55-E110</f>
        <v>0</v>
      </c>
      <c r="F113" s="4">
        <f t="shared" si="32"/>
        <v>0</v>
      </c>
      <c r="G113" s="4">
        <f t="shared" si="32"/>
        <v>0</v>
      </c>
      <c r="H113" s="4">
        <f t="shared" si="32"/>
        <v>0</v>
      </c>
      <c r="I113" s="4">
        <f t="shared" si="32"/>
        <v>0</v>
      </c>
      <c r="J113" s="4">
        <f t="shared" si="32"/>
        <v>0</v>
      </c>
      <c r="K113" s="4">
        <f t="shared" si="32"/>
        <v>0</v>
      </c>
      <c r="L113" s="4">
        <f t="shared" si="32"/>
        <v>0</v>
      </c>
      <c r="M113" s="4">
        <f t="shared" si="32"/>
        <v>0</v>
      </c>
      <c r="N113" s="8"/>
    </row>
    <row r="114" spans="1:14" ht="12.75">
      <c r="A114" s="8"/>
      <c r="B114" s="8"/>
      <c r="C114" s="8"/>
      <c r="D114" s="4"/>
      <c r="E114" s="4"/>
      <c r="F114" s="4"/>
      <c r="G114" s="4"/>
      <c r="H114" s="4"/>
      <c r="I114" s="4"/>
      <c r="J114" s="4"/>
      <c r="K114" s="4"/>
      <c r="L114" s="4"/>
      <c r="M114" s="4"/>
      <c r="N114" s="8"/>
    </row>
    <row r="115" spans="1:14" ht="12.75">
      <c r="A115" s="341"/>
      <c r="B115" s="341"/>
      <c r="C115" s="341"/>
      <c r="D115" s="96"/>
      <c r="E115" s="96"/>
      <c r="F115" s="96"/>
      <c r="G115" s="96"/>
      <c r="H115" s="96"/>
      <c r="I115" s="96"/>
      <c r="J115" s="96"/>
      <c r="K115" s="96"/>
      <c r="L115" s="96"/>
      <c r="M115" s="96"/>
      <c r="N115" s="8"/>
    </row>
    <row r="116" spans="1:14" ht="12.75">
      <c r="A116" s="8"/>
      <c r="B116" s="8"/>
      <c r="C116" s="8"/>
      <c r="D116" s="4"/>
      <c r="E116" s="4"/>
      <c r="F116" s="4"/>
      <c r="G116" s="4"/>
      <c r="H116" s="4"/>
      <c r="I116" s="4"/>
      <c r="J116" s="4"/>
      <c r="K116" s="4"/>
      <c r="L116" s="4"/>
      <c r="M116" s="4"/>
      <c r="N116" s="8"/>
    </row>
    <row r="117" spans="1:14" ht="12.75">
      <c r="A117" s="8"/>
      <c r="B117" s="8"/>
      <c r="C117" s="8"/>
      <c r="D117" s="4"/>
      <c r="E117" s="4"/>
      <c r="F117" s="4"/>
      <c r="G117" s="4"/>
      <c r="H117" s="4"/>
      <c r="I117" s="4"/>
      <c r="J117" s="4"/>
      <c r="K117" s="4"/>
      <c r="L117" s="4"/>
      <c r="M117" s="4"/>
      <c r="N117" s="8"/>
    </row>
    <row r="118" spans="1:14" ht="12.75">
      <c r="A118" s="8"/>
      <c r="B118" s="8"/>
      <c r="C118" s="8"/>
      <c r="D118" s="4"/>
      <c r="E118" s="4"/>
      <c r="F118" s="4"/>
      <c r="G118" s="4"/>
      <c r="H118" s="4"/>
      <c r="I118" s="4"/>
      <c r="J118" s="4"/>
      <c r="K118" s="4"/>
      <c r="L118" s="4"/>
      <c r="M118" s="4"/>
      <c r="N118" s="8"/>
    </row>
    <row r="119" spans="1:14" ht="12.75">
      <c r="A119" s="8"/>
      <c r="B119" s="8"/>
      <c r="C119" s="8"/>
      <c r="D119" s="4"/>
      <c r="E119" s="4"/>
      <c r="F119" s="4"/>
      <c r="G119" s="4"/>
      <c r="H119" s="4"/>
      <c r="I119" s="4"/>
      <c r="J119" s="4"/>
      <c r="K119" s="4"/>
      <c r="L119" s="4"/>
      <c r="M119" s="4"/>
      <c r="N119" s="8"/>
    </row>
    <row r="120" spans="1:14" ht="12.75">
      <c r="A120" s="8"/>
      <c r="B120" s="8"/>
      <c r="C120" s="8"/>
      <c r="D120" s="4"/>
      <c r="E120" s="4"/>
      <c r="F120" s="4"/>
      <c r="G120" s="4"/>
      <c r="H120" s="4"/>
      <c r="I120" s="4"/>
      <c r="J120" s="4"/>
      <c r="K120" s="4"/>
      <c r="L120" s="4"/>
      <c r="M120" s="4"/>
      <c r="N120" s="8"/>
    </row>
    <row r="121" spans="1:14" ht="12.75">
      <c r="A121" s="8"/>
      <c r="B121" s="8"/>
      <c r="C121" s="8"/>
      <c r="D121" s="4"/>
      <c r="E121" s="4"/>
      <c r="F121" s="4"/>
      <c r="G121" s="4"/>
      <c r="H121" s="4"/>
      <c r="I121" s="4"/>
      <c r="J121" s="4"/>
      <c r="K121" s="4"/>
      <c r="L121" s="4"/>
      <c r="M121" s="4"/>
      <c r="N121" s="8"/>
    </row>
    <row r="122" spans="1:14" ht="12.75">
      <c r="A122" s="8"/>
      <c r="B122" s="8"/>
      <c r="C122" s="8"/>
      <c r="D122" s="4"/>
      <c r="E122" s="4"/>
      <c r="F122" s="4"/>
      <c r="G122" s="4"/>
      <c r="H122" s="4"/>
      <c r="I122" s="4"/>
      <c r="J122" s="4"/>
      <c r="K122" s="4"/>
      <c r="L122" s="4"/>
      <c r="M122" s="4"/>
      <c r="N122" s="8"/>
    </row>
    <row r="123" spans="1:14" ht="12.75">
      <c r="A123" s="8"/>
      <c r="B123" s="8"/>
      <c r="C123" s="8"/>
      <c r="D123" s="4"/>
      <c r="E123" s="4"/>
      <c r="F123" s="4"/>
      <c r="G123" s="4"/>
      <c r="H123" s="4"/>
      <c r="I123" s="4"/>
      <c r="J123" s="4"/>
      <c r="K123" s="4"/>
      <c r="L123" s="4"/>
      <c r="M123" s="4"/>
      <c r="N123" s="8"/>
    </row>
    <row r="124" spans="1:14" ht="12.75">
      <c r="A124" s="8"/>
      <c r="B124" s="8"/>
      <c r="C124" s="8"/>
      <c r="D124" s="4"/>
      <c r="E124" s="4"/>
      <c r="F124" s="4"/>
      <c r="G124" s="4"/>
      <c r="H124" s="4"/>
      <c r="I124" s="4"/>
      <c r="J124" s="4"/>
      <c r="K124" s="4"/>
      <c r="L124" s="4"/>
      <c r="M124" s="4"/>
      <c r="N124" s="8"/>
    </row>
    <row r="125" spans="1:14" ht="12.75">
      <c r="A125" s="8"/>
      <c r="B125" s="8"/>
      <c r="C125" s="8"/>
      <c r="D125" s="4"/>
      <c r="E125" s="4"/>
      <c r="F125" s="4"/>
      <c r="G125" s="4"/>
      <c r="H125" s="4"/>
      <c r="I125" s="4"/>
      <c r="J125" s="4"/>
      <c r="K125" s="4"/>
      <c r="L125" s="4"/>
      <c r="M125" s="4"/>
      <c r="N125" s="8"/>
    </row>
    <row r="126" spans="1:14" ht="12.75">
      <c r="A126" s="8"/>
      <c r="B126" s="8"/>
      <c r="C126" s="8"/>
      <c r="D126" s="4"/>
      <c r="E126" s="4"/>
      <c r="F126" s="4"/>
      <c r="G126" s="4"/>
      <c r="H126" s="4"/>
      <c r="I126" s="4"/>
      <c r="J126" s="4"/>
      <c r="K126" s="4"/>
      <c r="L126" s="4"/>
      <c r="M126" s="4"/>
      <c r="N126" s="8"/>
    </row>
    <row r="127" spans="1:14" ht="12.75">
      <c r="A127" s="8"/>
      <c r="B127" s="8"/>
      <c r="C127" s="8"/>
      <c r="D127" s="4"/>
      <c r="E127" s="4"/>
      <c r="F127" s="4"/>
      <c r="G127" s="4"/>
      <c r="H127" s="4"/>
      <c r="I127" s="4"/>
      <c r="J127" s="4"/>
      <c r="K127" s="4"/>
      <c r="L127" s="4"/>
      <c r="M127" s="4"/>
      <c r="N127" s="8"/>
    </row>
    <row r="128" spans="1:14" ht="12.75">
      <c r="A128" s="8"/>
      <c r="B128" s="8"/>
      <c r="C128" s="8"/>
      <c r="D128" s="4"/>
      <c r="E128" s="4"/>
      <c r="F128" s="4"/>
      <c r="G128" s="4"/>
      <c r="H128" s="4"/>
      <c r="I128" s="4"/>
      <c r="J128" s="4"/>
      <c r="K128" s="4"/>
      <c r="L128" s="4"/>
      <c r="M128" s="4"/>
      <c r="N128" s="8"/>
    </row>
    <row r="129" spans="1:14" ht="12.75">
      <c r="A129" s="8"/>
      <c r="B129" s="8"/>
      <c r="C129" s="8"/>
      <c r="D129" s="4"/>
      <c r="E129" s="4"/>
      <c r="F129" s="4"/>
      <c r="G129" s="4"/>
      <c r="H129" s="4"/>
      <c r="I129" s="4"/>
      <c r="J129" s="4"/>
      <c r="K129" s="4"/>
      <c r="L129" s="4"/>
      <c r="M129" s="4"/>
      <c r="N129" s="8"/>
    </row>
    <row r="130" spans="1:14" ht="12.75">
      <c r="A130" s="8"/>
      <c r="B130" s="8"/>
      <c r="C130" s="8"/>
      <c r="D130" s="4"/>
      <c r="E130" s="4"/>
      <c r="F130" s="4"/>
      <c r="G130" s="4"/>
      <c r="H130" s="4"/>
      <c r="I130" s="4"/>
      <c r="J130" s="4"/>
      <c r="K130" s="4"/>
      <c r="L130" s="4"/>
      <c r="M130" s="4"/>
      <c r="N130" s="8"/>
    </row>
    <row r="131" spans="1:14" ht="12.75">
      <c r="A131" s="8"/>
      <c r="B131" s="8"/>
      <c r="C131" s="8"/>
      <c r="D131" s="4"/>
      <c r="E131" s="4"/>
      <c r="F131" s="4"/>
      <c r="G131" s="4"/>
      <c r="H131" s="4"/>
      <c r="I131" s="4"/>
      <c r="J131" s="4"/>
      <c r="K131" s="4"/>
      <c r="L131" s="4"/>
      <c r="M131" s="4"/>
      <c r="N131" s="8"/>
    </row>
    <row r="132" spans="1:14" ht="12.75">
      <c r="A132" s="8"/>
      <c r="B132" s="8"/>
      <c r="C132" s="8"/>
      <c r="D132" s="4"/>
      <c r="E132" s="4"/>
      <c r="F132" s="4"/>
      <c r="G132" s="4"/>
      <c r="H132" s="4"/>
      <c r="I132" s="4"/>
      <c r="J132" s="4"/>
      <c r="K132" s="4"/>
      <c r="L132" s="4"/>
      <c r="M132" s="4"/>
      <c r="N132" s="8"/>
    </row>
    <row r="133" spans="1:14" ht="12.75">
      <c r="A133" s="8"/>
      <c r="B133" s="8"/>
      <c r="C133" s="8"/>
      <c r="D133" s="4"/>
      <c r="E133" s="4"/>
      <c r="F133" s="4"/>
      <c r="G133" s="4"/>
      <c r="H133" s="4"/>
      <c r="I133" s="4"/>
      <c r="J133" s="4"/>
      <c r="K133" s="4"/>
      <c r="L133" s="4"/>
      <c r="M133" s="4"/>
      <c r="N133" s="8"/>
    </row>
    <row r="134" spans="1:14" ht="12.75">
      <c r="A134" s="8"/>
      <c r="B134" s="8"/>
      <c r="C134" s="8"/>
      <c r="D134" s="4"/>
      <c r="E134" s="4"/>
      <c r="F134" s="4"/>
      <c r="G134" s="4"/>
      <c r="H134" s="4"/>
      <c r="I134" s="4"/>
      <c r="J134" s="4"/>
      <c r="K134" s="4"/>
      <c r="L134" s="4"/>
      <c r="M134" s="4"/>
      <c r="N134" s="8"/>
    </row>
    <row r="135" spans="1:14" ht="12.75">
      <c r="A135" s="8"/>
      <c r="B135" s="8"/>
      <c r="C135" s="8"/>
      <c r="D135" s="4"/>
      <c r="E135" s="4"/>
      <c r="F135" s="4"/>
      <c r="G135" s="4"/>
      <c r="H135" s="4"/>
      <c r="I135" s="4"/>
      <c r="J135" s="4"/>
      <c r="K135" s="4"/>
      <c r="L135" s="4"/>
      <c r="M135" s="4"/>
      <c r="N135" s="8"/>
    </row>
    <row r="136" spans="1:14" ht="12.75">
      <c r="A136" s="8"/>
      <c r="B136" s="8"/>
      <c r="C136" s="8"/>
      <c r="D136" s="4"/>
      <c r="E136" s="4"/>
      <c r="F136" s="4"/>
      <c r="G136" s="4"/>
      <c r="H136" s="4"/>
      <c r="I136" s="4"/>
      <c r="J136" s="4"/>
      <c r="K136" s="4"/>
      <c r="L136" s="4"/>
      <c r="M136" s="4"/>
      <c r="N136" s="8"/>
    </row>
    <row r="137" spans="1:14" ht="12.75">
      <c r="A137" s="8"/>
      <c r="B137" s="8"/>
      <c r="C137" s="8"/>
      <c r="D137" s="4"/>
      <c r="E137" s="4"/>
      <c r="F137" s="4"/>
      <c r="G137" s="4"/>
      <c r="H137" s="4"/>
      <c r="I137" s="4"/>
      <c r="J137" s="4"/>
      <c r="K137" s="4"/>
      <c r="L137" s="4"/>
      <c r="M137" s="4"/>
      <c r="N137" s="8"/>
    </row>
    <row r="138" spans="1:14" ht="12.75">
      <c r="A138" s="8"/>
      <c r="B138" s="8"/>
      <c r="C138" s="8"/>
      <c r="D138" s="4"/>
      <c r="E138" s="4"/>
      <c r="F138" s="4"/>
      <c r="G138" s="4"/>
      <c r="H138" s="4"/>
      <c r="I138" s="4"/>
      <c r="J138" s="4"/>
      <c r="K138" s="4"/>
      <c r="L138" s="4"/>
      <c r="M138" s="4"/>
      <c r="N138" s="8"/>
    </row>
    <row r="139" spans="1:14" ht="12.75">
      <c r="A139" s="8"/>
      <c r="B139" s="8"/>
      <c r="C139" s="8"/>
      <c r="D139" s="4"/>
      <c r="E139" s="4"/>
      <c r="F139" s="4"/>
      <c r="G139" s="4"/>
      <c r="H139" s="4"/>
      <c r="I139" s="4"/>
      <c r="J139" s="4"/>
      <c r="K139" s="4"/>
      <c r="L139" s="4"/>
      <c r="M139" s="4"/>
      <c r="N139" s="8"/>
    </row>
    <row r="140" spans="1:14" ht="12.75">
      <c r="A140" s="8"/>
      <c r="B140" s="8"/>
      <c r="C140" s="8"/>
      <c r="D140" s="4"/>
      <c r="E140" s="4"/>
      <c r="F140" s="4"/>
      <c r="G140" s="4"/>
      <c r="H140" s="4"/>
      <c r="I140" s="4"/>
      <c r="J140" s="4"/>
      <c r="K140" s="4"/>
      <c r="L140" s="4"/>
      <c r="M140" s="4"/>
      <c r="N140" s="8"/>
    </row>
    <row r="141" spans="1:14" ht="12.75">
      <c r="A141" s="8"/>
      <c r="B141" s="8"/>
      <c r="C141" s="8"/>
      <c r="D141" s="8"/>
      <c r="E141" s="8"/>
      <c r="F141" s="8"/>
      <c r="G141" s="8"/>
      <c r="H141" s="8"/>
      <c r="I141" s="8"/>
      <c r="J141" s="8"/>
      <c r="K141" s="8"/>
      <c r="L141" s="8"/>
      <c r="M141" s="8"/>
      <c r="N141" s="8"/>
    </row>
    <row r="142" spans="1:14" ht="12.75">
      <c r="A142" s="8"/>
      <c r="B142" s="8"/>
      <c r="C142" s="8"/>
      <c r="D142" s="8"/>
      <c r="E142" s="8"/>
      <c r="F142" s="8"/>
      <c r="G142" s="8"/>
      <c r="H142" s="8"/>
      <c r="I142" s="8"/>
      <c r="J142" s="8"/>
      <c r="K142" s="8"/>
      <c r="L142" s="8"/>
      <c r="M142" s="8"/>
      <c r="N142" s="8"/>
    </row>
    <row r="143" spans="1:14" ht="12.75">
      <c r="A143" s="8"/>
      <c r="B143" s="8"/>
      <c r="C143" s="8"/>
      <c r="D143" s="8"/>
      <c r="E143" s="8"/>
      <c r="F143" s="8"/>
      <c r="G143" s="8"/>
      <c r="H143" s="8"/>
      <c r="I143" s="8"/>
      <c r="J143" s="8"/>
      <c r="K143" s="8"/>
      <c r="L143" s="8"/>
      <c r="M143" s="8"/>
      <c r="N143" s="8"/>
    </row>
    <row r="144" spans="1:14" ht="12.75">
      <c r="A144" s="8"/>
      <c r="B144" s="8"/>
      <c r="C144" s="8"/>
      <c r="D144" s="8"/>
      <c r="E144" s="8"/>
      <c r="F144" s="8"/>
      <c r="G144" s="8"/>
      <c r="H144" s="8"/>
      <c r="I144" s="8"/>
      <c r="J144" s="8"/>
      <c r="K144" s="8"/>
      <c r="L144" s="8"/>
      <c r="M144" s="8"/>
      <c r="N144" s="8"/>
    </row>
    <row r="145" spans="1:14" ht="12.75">
      <c r="A145" s="8"/>
      <c r="B145" s="8"/>
      <c r="C145" s="8"/>
      <c r="D145" s="8"/>
      <c r="E145" s="8"/>
      <c r="F145" s="8"/>
      <c r="G145" s="8"/>
      <c r="H145" s="8"/>
      <c r="I145" s="8"/>
      <c r="J145" s="8"/>
      <c r="K145" s="8"/>
      <c r="L145" s="8"/>
      <c r="M145" s="8"/>
      <c r="N145" s="8"/>
    </row>
    <row r="146" spans="1:14" ht="12.75">
      <c r="A146" s="8"/>
      <c r="B146" s="8"/>
      <c r="C146" s="8"/>
      <c r="D146" s="8"/>
      <c r="E146" s="8"/>
      <c r="F146" s="8"/>
      <c r="G146" s="8"/>
      <c r="H146" s="8"/>
      <c r="I146" s="8"/>
      <c r="J146" s="8"/>
      <c r="K146" s="8"/>
      <c r="L146" s="8"/>
      <c r="M146" s="8"/>
      <c r="N146" s="8"/>
    </row>
    <row r="147" spans="1:14" ht="12.75">
      <c r="A147" s="8"/>
      <c r="B147" s="8"/>
      <c r="C147" s="8"/>
      <c r="D147" s="8"/>
      <c r="E147" s="8"/>
      <c r="F147" s="8"/>
      <c r="G147" s="8"/>
      <c r="H147" s="8"/>
      <c r="I147" s="8"/>
      <c r="J147" s="8"/>
      <c r="K147" s="8"/>
      <c r="L147" s="8"/>
      <c r="M147" s="8"/>
      <c r="N147" s="8"/>
    </row>
    <row r="148" spans="1:14" ht="12.75">
      <c r="A148" s="8"/>
      <c r="B148" s="8"/>
      <c r="C148" s="8"/>
      <c r="D148" s="8"/>
      <c r="E148" s="8"/>
      <c r="F148" s="8"/>
      <c r="G148" s="8"/>
      <c r="H148" s="8"/>
      <c r="I148" s="8"/>
      <c r="J148" s="8"/>
      <c r="K148" s="8"/>
      <c r="L148" s="8"/>
      <c r="M148" s="8"/>
      <c r="N148" s="8"/>
    </row>
    <row r="149" spans="1:14" ht="12.75">
      <c r="A149" s="8"/>
      <c r="B149" s="8"/>
      <c r="C149" s="8"/>
      <c r="D149" s="8"/>
      <c r="E149" s="8"/>
      <c r="F149" s="8"/>
      <c r="G149" s="8"/>
      <c r="H149" s="8"/>
      <c r="I149" s="8"/>
      <c r="J149" s="8"/>
      <c r="K149" s="8"/>
      <c r="L149" s="8"/>
      <c r="M149" s="8"/>
      <c r="N149" s="8"/>
    </row>
    <row r="150" spans="1:14" ht="12.75">
      <c r="A150" s="8"/>
      <c r="B150" s="8"/>
      <c r="C150" s="8"/>
      <c r="D150" s="8"/>
      <c r="E150" s="8"/>
      <c r="F150" s="8"/>
      <c r="G150" s="8"/>
      <c r="H150" s="8"/>
      <c r="I150" s="8"/>
      <c r="J150" s="8"/>
      <c r="K150" s="8"/>
      <c r="L150" s="8"/>
      <c r="M150" s="8"/>
      <c r="N150" s="8"/>
    </row>
    <row r="151" spans="1:14" ht="12.75">
      <c r="A151" s="8"/>
      <c r="B151" s="8"/>
      <c r="C151" s="8"/>
      <c r="D151" s="8"/>
      <c r="E151" s="8"/>
      <c r="F151" s="8"/>
      <c r="G151" s="8"/>
      <c r="H151" s="8"/>
      <c r="I151" s="8"/>
      <c r="J151" s="8"/>
      <c r="K151" s="8"/>
      <c r="L151" s="8"/>
      <c r="M151" s="8"/>
      <c r="N151" s="8"/>
    </row>
    <row r="152" spans="1:14" ht="12.75">
      <c r="A152" s="8"/>
      <c r="B152" s="8"/>
      <c r="C152" s="8"/>
      <c r="D152" s="8"/>
      <c r="E152" s="8"/>
      <c r="F152" s="8"/>
      <c r="G152" s="8"/>
      <c r="H152" s="8"/>
      <c r="I152" s="8"/>
      <c r="J152" s="8"/>
      <c r="K152" s="8"/>
      <c r="L152" s="8"/>
      <c r="M152" s="8"/>
      <c r="N152" s="8"/>
    </row>
    <row r="153" spans="1:14" ht="12.75">
      <c r="A153" s="8"/>
      <c r="B153" s="8"/>
      <c r="C153" s="8"/>
      <c r="D153" s="8"/>
      <c r="E153" s="8"/>
      <c r="F153" s="8"/>
      <c r="G153" s="8"/>
      <c r="H153" s="8"/>
      <c r="I153" s="8"/>
      <c r="J153" s="8"/>
      <c r="K153" s="8"/>
      <c r="L153" s="8"/>
      <c r="M153" s="8"/>
      <c r="N153" s="8"/>
    </row>
    <row r="154" spans="1:14" ht="12.75">
      <c r="A154" s="8"/>
      <c r="B154" s="8"/>
      <c r="C154" s="8"/>
      <c r="D154" s="8"/>
      <c r="E154" s="8"/>
      <c r="F154" s="8"/>
      <c r="G154" s="8"/>
      <c r="H154" s="8"/>
      <c r="I154" s="8"/>
      <c r="J154" s="8"/>
      <c r="K154" s="8"/>
      <c r="L154" s="8"/>
      <c r="M154" s="8"/>
      <c r="N154" s="8"/>
    </row>
    <row r="155" spans="1:14" ht="12.75">
      <c r="A155" s="8"/>
      <c r="B155" s="8"/>
      <c r="C155" s="8"/>
      <c r="D155" s="8"/>
      <c r="E155" s="8"/>
      <c r="F155" s="8"/>
      <c r="G155" s="8"/>
      <c r="H155" s="8"/>
      <c r="I155" s="8"/>
      <c r="J155" s="8"/>
      <c r="K155" s="8"/>
      <c r="L155" s="8"/>
      <c r="M155" s="8"/>
      <c r="N155" s="8"/>
    </row>
    <row r="156" spans="1:14" ht="12.75">
      <c r="A156" s="8"/>
      <c r="B156" s="8"/>
      <c r="C156" s="8"/>
      <c r="D156" s="8"/>
      <c r="E156" s="8"/>
      <c r="F156" s="8"/>
      <c r="G156" s="8"/>
      <c r="H156" s="8"/>
      <c r="I156" s="8"/>
      <c r="J156" s="8"/>
      <c r="K156" s="8"/>
      <c r="L156" s="8"/>
      <c r="M156" s="8"/>
      <c r="N156" s="8"/>
    </row>
    <row r="157" spans="1:14" ht="12.75">
      <c r="A157" s="8"/>
      <c r="B157" s="8"/>
      <c r="C157" s="8"/>
      <c r="D157" s="8"/>
      <c r="E157" s="8"/>
      <c r="F157" s="8"/>
      <c r="G157" s="8"/>
      <c r="H157" s="8"/>
      <c r="I157" s="8"/>
      <c r="J157" s="8"/>
      <c r="K157" s="8"/>
      <c r="L157" s="8"/>
      <c r="M157" s="8"/>
      <c r="N157" s="8"/>
    </row>
    <row r="158" spans="1:14" ht="12.75">
      <c r="A158" s="8"/>
      <c r="B158" s="8"/>
      <c r="C158" s="8"/>
      <c r="D158" s="8"/>
      <c r="E158" s="8"/>
      <c r="F158" s="8"/>
      <c r="G158" s="8"/>
      <c r="H158" s="8"/>
      <c r="I158" s="8"/>
      <c r="J158" s="8"/>
      <c r="K158" s="8"/>
      <c r="L158" s="8"/>
      <c r="M158" s="8"/>
      <c r="N158" s="8"/>
    </row>
    <row r="159" spans="1:14" ht="12.75">
      <c r="A159" s="8"/>
      <c r="B159" s="8"/>
      <c r="C159" s="8"/>
      <c r="D159" s="8"/>
      <c r="E159" s="8"/>
      <c r="F159" s="8"/>
      <c r="G159" s="8"/>
      <c r="H159" s="8"/>
      <c r="I159" s="8"/>
      <c r="J159" s="8"/>
      <c r="K159" s="8"/>
      <c r="L159" s="8"/>
      <c r="M159" s="8"/>
      <c r="N159" s="8"/>
    </row>
    <row r="160" spans="1:14" ht="12.75">
      <c r="A160" s="8"/>
      <c r="B160" s="8"/>
      <c r="C160" s="8"/>
      <c r="D160" s="8"/>
      <c r="E160" s="8"/>
      <c r="F160" s="8"/>
      <c r="G160" s="8"/>
      <c r="H160" s="8"/>
      <c r="I160" s="8"/>
      <c r="J160" s="8"/>
      <c r="K160" s="8"/>
      <c r="L160" s="8"/>
      <c r="M160" s="8"/>
      <c r="N160" s="8"/>
    </row>
    <row r="161" spans="1:14" ht="12.75">
      <c r="A161" s="8"/>
      <c r="B161" s="8"/>
      <c r="C161" s="8"/>
      <c r="D161" s="8"/>
      <c r="E161" s="8"/>
      <c r="F161" s="8"/>
      <c r="G161" s="8"/>
      <c r="H161" s="8"/>
      <c r="I161" s="8"/>
      <c r="J161" s="8"/>
      <c r="K161" s="8"/>
      <c r="L161" s="8"/>
      <c r="M161" s="8"/>
      <c r="N161" s="8"/>
    </row>
    <row r="162" spans="1:14" ht="12.75">
      <c r="A162" s="8"/>
      <c r="B162" s="8"/>
      <c r="C162" s="8"/>
      <c r="D162" s="8"/>
      <c r="E162" s="8"/>
      <c r="F162" s="8"/>
      <c r="G162" s="8"/>
      <c r="H162" s="8"/>
      <c r="I162" s="8"/>
      <c r="J162" s="8"/>
      <c r="K162" s="8"/>
      <c r="L162" s="8"/>
      <c r="M162" s="8"/>
      <c r="N162" s="8"/>
    </row>
    <row r="163" spans="1:14" ht="12.75">
      <c r="A163" s="8"/>
      <c r="B163" s="8"/>
      <c r="C163" s="8"/>
      <c r="D163" s="8"/>
      <c r="E163" s="8"/>
      <c r="F163" s="8"/>
      <c r="G163" s="8"/>
      <c r="H163" s="8"/>
      <c r="I163" s="8"/>
      <c r="J163" s="8"/>
      <c r="K163" s="8"/>
      <c r="L163" s="8"/>
      <c r="M163" s="8"/>
      <c r="N163" s="8"/>
    </row>
    <row r="164" spans="1:14" ht="12.75">
      <c r="A164" s="8"/>
      <c r="B164" s="8"/>
      <c r="C164" s="8"/>
      <c r="D164" s="8"/>
      <c r="E164" s="8"/>
      <c r="F164" s="8"/>
      <c r="G164" s="8"/>
      <c r="H164" s="8"/>
      <c r="I164" s="8"/>
      <c r="J164" s="8"/>
      <c r="K164" s="8"/>
      <c r="L164" s="8"/>
      <c r="M164" s="8"/>
      <c r="N164" s="8"/>
    </row>
    <row r="165" spans="1:14" ht="12.75">
      <c r="A165" s="8"/>
      <c r="B165" s="8"/>
      <c r="C165" s="8"/>
      <c r="D165" s="8"/>
      <c r="E165" s="8"/>
      <c r="F165" s="8"/>
      <c r="G165" s="8"/>
      <c r="H165" s="8"/>
      <c r="I165" s="8"/>
      <c r="J165" s="8"/>
      <c r="K165" s="8"/>
      <c r="L165" s="8"/>
      <c r="M165" s="8"/>
      <c r="N165" s="8"/>
    </row>
    <row r="166" spans="1:14" ht="12.75">
      <c r="A166" s="8"/>
      <c r="B166" s="8"/>
      <c r="C166" s="8"/>
      <c r="D166" s="8"/>
      <c r="E166" s="8"/>
      <c r="F166" s="8"/>
      <c r="G166" s="8"/>
      <c r="H166" s="8"/>
      <c r="I166" s="8"/>
      <c r="J166" s="8"/>
      <c r="K166" s="8"/>
      <c r="L166" s="8"/>
      <c r="M166" s="8"/>
      <c r="N166" s="8"/>
    </row>
    <row r="167" spans="1:14" ht="12.75">
      <c r="A167" s="8"/>
      <c r="B167" s="8"/>
      <c r="C167" s="8"/>
      <c r="D167" s="8"/>
      <c r="E167" s="8"/>
      <c r="F167" s="8"/>
      <c r="G167" s="8"/>
      <c r="H167" s="8"/>
      <c r="I167" s="8"/>
      <c r="J167" s="8"/>
      <c r="K167" s="8"/>
      <c r="L167" s="8"/>
      <c r="M167" s="8"/>
      <c r="N167" s="8"/>
    </row>
    <row r="168" spans="1:14" ht="12.75">
      <c r="A168" s="8"/>
      <c r="B168" s="8"/>
      <c r="C168" s="8"/>
      <c r="D168" s="8"/>
      <c r="E168" s="8"/>
      <c r="F168" s="8"/>
      <c r="G168" s="8"/>
      <c r="H168" s="8"/>
      <c r="I168" s="8"/>
      <c r="J168" s="8"/>
      <c r="K168" s="8"/>
      <c r="L168" s="8"/>
      <c r="M168" s="8"/>
      <c r="N168" s="8"/>
    </row>
    <row r="169" spans="1:14" ht="12.75">
      <c r="A169" s="8"/>
      <c r="B169" s="8"/>
      <c r="C169" s="8"/>
      <c r="D169" s="8"/>
      <c r="E169" s="8"/>
      <c r="F169" s="8"/>
      <c r="G169" s="8"/>
      <c r="H169" s="8"/>
      <c r="I169" s="8"/>
      <c r="J169" s="8"/>
      <c r="K169" s="8"/>
      <c r="L169" s="8"/>
      <c r="M169" s="8"/>
      <c r="N169" s="8"/>
    </row>
    <row r="170" spans="1:14" ht="12.75">
      <c r="A170" s="8"/>
      <c r="B170" s="8"/>
      <c r="C170" s="8"/>
      <c r="D170" s="8"/>
      <c r="E170" s="8"/>
      <c r="F170" s="8"/>
      <c r="G170" s="8"/>
      <c r="H170" s="8"/>
      <c r="I170" s="8"/>
      <c r="J170" s="8"/>
      <c r="K170" s="8"/>
      <c r="L170" s="8"/>
      <c r="M170" s="8"/>
      <c r="N170" s="8"/>
    </row>
    <row r="171" spans="1:14" ht="12.75">
      <c r="A171" s="8"/>
      <c r="B171" s="8"/>
      <c r="C171" s="8"/>
      <c r="D171" s="8"/>
      <c r="E171" s="8"/>
      <c r="F171" s="8"/>
      <c r="G171" s="8"/>
      <c r="H171" s="8"/>
      <c r="I171" s="8"/>
      <c r="J171" s="8"/>
      <c r="K171" s="8"/>
      <c r="L171" s="8"/>
      <c r="M171" s="8"/>
      <c r="N171" s="8"/>
    </row>
    <row r="172" spans="1:14" ht="12.75">
      <c r="A172" s="8"/>
      <c r="B172" s="8"/>
      <c r="C172" s="8"/>
      <c r="D172" s="8"/>
      <c r="E172" s="8"/>
      <c r="F172" s="8"/>
      <c r="G172" s="8"/>
      <c r="H172" s="8"/>
      <c r="I172" s="8"/>
      <c r="J172" s="8"/>
      <c r="K172" s="8"/>
      <c r="L172" s="8"/>
      <c r="M172" s="8"/>
      <c r="N172" s="8"/>
    </row>
    <row r="173" spans="1:14" ht="12.75">
      <c r="A173" s="8"/>
      <c r="B173" s="8"/>
      <c r="C173" s="8"/>
      <c r="D173" s="8"/>
      <c r="E173" s="8"/>
      <c r="F173" s="8"/>
      <c r="G173" s="8"/>
      <c r="H173" s="8"/>
      <c r="I173" s="8"/>
      <c r="J173" s="8"/>
      <c r="K173" s="8"/>
      <c r="L173" s="8"/>
      <c r="M173" s="8"/>
      <c r="N173" s="8"/>
    </row>
    <row r="174" spans="1:14" ht="12.75">
      <c r="A174" s="8"/>
      <c r="B174" s="8"/>
      <c r="C174" s="8"/>
      <c r="D174" s="8"/>
      <c r="E174" s="8"/>
      <c r="F174" s="8"/>
      <c r="G174" s="8"/>
      <c r="H174" s="8"/>
      <c r="I174" s="8"/>
      <c r="J174" s="8"/>
      <c r="K174" s="8"/>
      <c r="L174" s="8"/>
      <c r="M174" s="8"/>
      <c r="N174" s="8"/>
    </row>
    <row r="175" spans="1:14" ht="12.75">
      <c r="A175" s="8"/>
      <c r="B175" s="8"/>
      <c r="C175" s="8"/>
      <c r="D175" s="8"/>
      <c r="E175" s="8"/>
      <c r="F175" s="8"/>
      <c r="G175" s="8"/>
      <c r="H175" s="8"/>
      <c r="I175" s="8"/>
      <c r="J175" s="8"/>
      <c r="K175" s="8"/>
      <c r="L175" s="8"/>
      <c r="M175" s="8"/>
      <c r="N175" s="8"/>
    </row>
    <row r="176" spans="1:14" ht="12.75">
      <c r="A176" s="8"/>
      <c r="B176" s="8"/>
      <c r="C176" s="8"/>
      <c r="D176" s="8"/>
      <c r="E176" s="8"/>
      <c r="F176" s="8"/>
      <c r="G176" s="8"/>
      <c r="H176" s="8"/>
      <c r="I176" s="8"/>
      <c r="J176" s="8"/>
      <c r="K176" s="8"/>
      <c r="L176" s="8"/>
      <c r="M176" s="8"/>
      <c r="N176" s="8"/>
    </row>
    <row r="177" spans="1:14" ht="12.75">
      <c r="A177" s="8"/>
      <c r="B177" s="8"/>
      <c r="C177" s="8"/>
      <c r="D177" s="8"/>
      <c r="E177" s="8"/>
      <c r="F177" s="8"/>
      <c r="G177" s="8"/>
      <c r="H177" s="8"/>
      <c r="I177" s="8"/>
      <c r="J177" s="8"/>
      <c r="K177" s="8"/>
      <c r="L177" s="8"/>
      <c r="M177" s="8"/>
      <c r="N177" s="8"/>
    </row>
    <row r="178" spans="1:14" ht="12.75">
      <c r="A178" s="8"/>
      <c r="B178" s="8"/>
      <c r="C178" s="8"/>
      <c r="D178" s="8"/>
      <c r="E178" s="8"/>
      <c r="F178" s="8"/>
      <c r="G178" s="8"/>
      <c r="H178" s="8"/>
      <c r="I178" s="8"/>
      <c r="J178" s="8"/>
      <c r="K178" s="8"/>
      <c r="L178" s="8"/>
      <c r="M178" s="8"/>
      <c r="N178" s="8"/>
    </row>
    <row r="179" spans="1:14" ht="12.75">
      <c r="A179" s="8"/>
      <c r="B179" s="8"/>
      <c r="C179" s="8"/>
      <c r="D179" s="8"/>
      <c r="E179" s="8"/>
      <c r="F179" s="8"/>
      <c r="G179" s="8"/>
      <c r="H179" s="8"/>
      <c r="I179" s="8"/>
      <c r="J179" s="8"/>
      <c r="K179" s="8"/>
      <c r="L179" s="8"/>
      <c r="M179" s="8"/>
      <c r="N179" s="8"/>
    </row>
    <row r="180" spans="1:14" ht="12.75">
      <c r="A180" s="8"/>
      <c r="B180" s="8"/>
      <c r="C180" s="8"/>
      <c r="D180" s="8"/>
      <c r="E180" s="8"/>
      <c r="F180" s="8"/>
      <c r="G180" s="8"/>
      <c r="H180" s="8"/>
      <c r="I180" s="8"/>
      <c r="J180" s="8"/>
      <c r="K180" s="8"/>
      <c r="L180" s="8"/>
      <c r="M180" s="8"/>
      <c r="N180" s="8"/>
    </row>
    <row r="181" spans="1:14" ht="12.75">
      <c r="A181" s="8"/>
      <c r="B181" s="8"/>
      <c r="C181" s="8"/>
      <c r="D181" s="8"/>
      <c r="E181" s="8"/>
      <c r="F181" s="8"/>
      <c r="G181" s="8"/>
      <c r="H181" s="8"/>
      <c r="I181" s="8"/>
      <c r="J181" s="8"/>
      <c r="K181" s="8"/>
      <c r="L181" s="8"/>
      <c r="M181" s="8"/>
      <c r="N181" s="8"/>
    </row>
    <row r="182" spans="1:14" ht="12.75">
      <c r="A182" s="8"/>
      <c r="B182" s="8"/>
      <c r="C182" s="8"/>
      <c r="D182" s="8"/>
      <c r="E182" s="8"/>
      <c r="F182" s="8"/>
      <c r="G182" s="8"/>
      <c r="H182" s="8"/>
      <c r="I182" s="8"/>
      <c r="J182" s="8"/>
      <c r="K182" s="8"/>
      <c r="L182" s="8"/>
      <c r="M182" s="8"/>
      <c r="N182" s="8"/>
    </row>
    <row r="183" spans="1:14" ht="12.75">
      <c r="A183" s="8"/>
      <c r="B183" s="8"/>
      <c r="C183" s="8"/>
      <c r="D183" s="8"/>
      <c r="E183" s="8"/>
      <c r="F183" s="8"/>
      <c r="G183" s="8"/>
      <c r="H183" s="8"/>
      <c r="I183" s="8"/>
      <c r="J183" s="8"/>
      <c r="K183" s="8"/>
      <c r="L183" s="8"/>
      <c r="M183" s="8"/>
      <c r="N183" s="8"/>
    </row>
    <row r="184" spans="1:14" ht="12.75">
      <c r="A184" s="8"/>
      <c r="B184" s="8"/>
      <c r="C184" s="8"/>
      <c r="D184" s="8"/>
      <c r="E184" s="8"/>
      <c r="F184" s="8"/>
      <c r="G184" s="8"/>
      <c r="H184" s="8"/>
      <c r="I184" s="8"/>
      <c r="J184" s="8"/>
      <c r="K184" s="8"/>
      <c r="L184" s="8"/>
      <c r="M184" s="8"/>
      <c r="N184" s="8"/>
    </row>
    <row r="185" spans="1:14" ht="12.75">
      <c r="A185" s="8"/>
      <c r="B185" s="8"/>
      <c r="C185" s="8"/>
      <c r="D185" s="8"/>
      <c r="E185" s="8"/>
      <c r="F185" s="8"/>
      <c r="G185" s="8"/>
      <c r="H185" s="8"/>
      <c r="I185" s="8"/>
      <c r="J185" s="8"/>
      <c r="K185" s="8"/>
      <c r="L185" s="8"/>
      <c r="M185" s="8"/>
      <c r="N185" s="8"/>
    </row>
    <row r="186" spans="1:14" ht="12.75">
      <c r="A186" s="8"/>
      <c r="B186" s="8"/>
      <c r="C186" s="8"/>
      <c r="D186" s="8"/>
      <c r="E186" s="8"/>
      <c r="F186" s="8"/>
      <c r="G186" s="8"/>
      <c r="H186" s="8"/>
      <c r="I186" s="8"/>
      <c r="J186" s="8"/>
      <c r="K186" s="8"/>
      <c r="L186" s="8"/>
      <c r="M186" s="8"/>
      <c r="N186" s="8"/>
    </row>
    <row r="187" spans="1:14" ht="12.75">
      <c r="A187" s="8"/>
      <c r="B187" s="8"/>
      <c r="C187" s="8"/>
      <c r="D187" s="8"/>
      <c r="E187" s="8"/>
      <c r="F187" s="8"/>
      <c r="G187" s="8"/>
      <c r="H187" s="8"/>
      <c r="I187" s="8"/>
      <c r="J187" s="8"/>
      <c r="K187" s="8"/>
      <c r="L187" s="8"/>
      <c r="M187" s="8"/>
      <c r="N187" s="8"/>
    </row>
    <row r="188" spans="1:14" ht="12.75">
      <c r="A188" s="8"/>
      <c r="B188" s="8"/>
      <c r="C188" s="8"/>
      <c r="D188" s="8"/>
      <c r="E188" s="8"/>
      <c r="F188" s="8"/>
      <c r="G188" s="8"/>
      <c r="H188" s="8"/>
      <c r="I188" s="8"/>
      <c r="J188" s="8"/>
      <c r="K188" s="8"/>
      <c r="L188" s="8"/>
      <c r="M188" s="8"/>
      <c r="N188" s="8"/>
    </row>
    <row r="189" spans="1:14" ht="12.75">
      <c r="A189" s="8"/>
      <c r="B189" s="8"/>
      <c r="C189" s="8"/>
      <c r="D189" s="8"/>
      <c r="E189" s="8"/>
      <c r="F189" s="8"/>
      <c r="G189" s="8"/>
      <c r="H189" s="8"/>
      <c r="I189" s="8"/>
      <c r="J189" s="8"/>
      <c r="K189" s="8"/>
      <c r="L189" s="8"/>
      <c r="M189" s="8"/>
      <c r="N189" s="8"/>
    </row>
    <row r="190" spans="1:14" ht="12.75">
      <c r="A190" s="8"/>
      <c r="B190" s="8"/>
      <c r="C190" s="8"/>
      <c r="D190" s="8"/>
      <c r="E190" s="8"/>
      <c r="F190" s="8"/>
      <c r="G190" s="8"/>
      <c r="H190" s="8"/>
      <c r="I190" s="8"/>
      <c r="J190" s="8"/>
      <c r="K190" s="8"/>
      <c r="L190" s="8"/>
      <c r="M190" s="8"/>
      <c r="N190" s="8"/>
    </row>
    <row r="191" spans="1:14" ht="12.75">
      <c r="A191" s="8"/>
      <c r="B191" s="8"/>
      <c r="C191" s="8"/>
      <c r="D191" s="8"/>
      <c r="E191" s="8"/>
      <c r="F191" s="8"/>
      <c r="G191" s="8"/>
      <c r="H191" s="8"/>
      <c r="I191" s="8"/>
      <c r="J191" s="8"/>
      <c r="K191" s="8"/>
      <c r="L191" s="8"/>
      <c r="M191" s="8"/>
      <c r="N191" s="8"/>
    </row>
    <row r="192" spans="1:14" ht="12.75">
      <c r="A192" s="8"/>
      <c r="B192" s="8"/>
      <c r="C192" s="8"/>
      <c r="D192" s="8"/>
      <c r="E192" s="8"/>
      <c r="F192" s="8"/>
      <c r="G192" s="8"/>
      <c r="H192" s="8"/>
      <c r="I192" s="8"/>
      <c r="J192" s="8"/>
      <c r="K192" s="8"/>
      <c r="L192" s="8"/>
      <c r="M192" s="8"/>
      <c r="N192" s="8"/>
    </row>
    <row r="193" spans="1:14" ht="12.75">
      <c r="A193" s="8"/>
      <c r="B193" s="8"/>
      <c r="C193" s="8"/>
      <c r="D193" s="8"/>
      <c r="E193" s="8"/>
      <c r="F193" s="8"/>
      <c r="G193" s="8"/>
      <c r="H193" s="8"/>
      <c r="I193" s="8"/>
      <c r="J193" s="8"/>
      <c r="K193" s="8"/>
      <c r="L193" s="8"/>
      <c r="M193" s="8"/>
      <c r="N193" s="8"/>
    </row>
    <row r="194" spans="1:14" ht="12.75">
      <c r="A194" s="8"/>
      <c r="B194" s="8"/>
      <c r="C194" s="8"/>
      <c r="D194" s="8"/>
      <c r="E194" s="8"/>
      <c r="F194" s="8"/>
      <c r="G194" s="8"/>
      <c r="H194" s="8"/>
      <c r="I194" s="8"/>
      <c r="J194" s="8"/>
      <c r="K194" s="8"/>
      <c r="L194" s="8"/>
      <c r="M194" s="8"/>
      <c r="N194" s="8"/>
    </row>
    <row r="195" spans="1:14" ht="12.75">
      <c r="A195" s="8"/>
      <c r="B195" s="8"/>
      <c r="C195" s="8"/>
      <c r="D195" s="8"/>
      <c r="E195" s="8"/>
      <c r="F195" s="8"/>
      <c r="G195" s="8"/>
      <c r="H195" s="8"/>
      <c r="I195" s="8"/>
      <c r="J195" s="8"/>
      <c r="K195" s="8"/>
      <c r="L195" s="8"/>
      <c r="M195" s="8"/>
      <c r="N195" s="8"/>
    </row>
    <row r="196" spans="1:14" ht="12.75">
      <c r="A196" s="8"/>
      <c r="B196" s="8"/>
      <c r="C196" s="8"/>
      <c r="D196" s="8"/>
      <c r="E196" s="8"/>
      <c r="F196" s="8"/>
      <c r="G196" s="8"/>
      <c r="H196" s="8"/>
      <c r="I196" s="8"/>
      <c r="J196" s="8"/>
      <c r="K196" s="8"/>
      <c r="L196" s="8"/>
      <c r="M196" s="8"/>
      <c r="N196" s="8"/>
    </row>
    <row r="197" spans="1:14" ht="12.75">
      <c r="A197" s="8"/>
      <c r="B197" s="8"/>
      <c r="C197" s="8"/>
      <c r="D197" s="8"/>
      <c r="E197" s="8"/>
      <c r="F197" s="8"/>
      <c r="G197" s="8"/>
      <c r="H197" s="8"/>
      <c r="I197" s="8"/>
      <c r="J197" s="8"/>
      <c r="K197" s="8"/>
      <c r="L197" s="8"/>
      <c r="M197" s="8"/>
      <c r="N197" s="8"/>
    </row>
    <row r="198" spans="1:14" ht="12.75">
      <c r="A198" s="8"/>
      <c r="B198" s="8"/>
      <c r="C198" s="8"/>
      <c r="D198" s="8"/>
      <c r="E198" s="8"/>
      <c r="F198" s="8"/>
      <c r="G198" s="8"/>
      <c r="H198" s="8"/>
      <c r="I198" s="8"/>
      <c r="J198" s="8"/>
      <c r="K198" s="8"/>
      <c r="L198" s="8"/>
      <c r="M198" s="8"/>
      <c r="N198" s="8"/>
    </row>
    <row r="199" spans="1:14" ht="12.75">
      <c r="A199" s="8"/>
      <c r="B199" s="8"/>
      <c r="C199" s="8"/>
      <c r="D199" s="8"/>
      <c r="E199" s="8"/>
      <c r="F199" s="8"/>
      <c r="G199" s="8"/>
      <c r="H199" s="8"/>
      <c r="I199" s="8"/>
      <c r="J199" s="8"/>
      <c r="K199" s="8"/>
      <c r="L199" s="8"/>
      <c r="M199" s="8"/>
      <c r="N199" s="8"/>
    </row>
    <row r="200" spans="1:14" ht="12.75">
      <c r="A200" s="8"/>
      <c r="B200" s="8"/>
      <c r="C200" s="8"/>
      <c r="D200" s="8"/>
      <c r="E200" s="8"/>
      <c r="F200" s="8"/>
      <c r="G200" s="8"/>
      <c r="H200" s="8"/>
      <c r="I200" s="8"/>
      <c r="J200" s="8"/>
      <c r="K200" s="8"/>
      <c r="L200" s="8"/>
      <c r="M200" s="8"/>
      <c r="N200" s="8"/>
    </row>
    <row r="201" spans="1:14" ht="12.75">
      <c r="A201" s="8"/>
      <c r="B201" s="8"/>
      <c r="C201" s="8"/>
      <c r="D201" s="8"/>
      <c r="E201" s="8"/>
      <c r="F201" s="8"/>
      <c r="G201" s="8"/>
      <c r="H201" s="8"/>
      <c r="I201" s="8"/>
      <c r="J201" s="8"/>
      <c r="K201" s="8"/>
      <c r="L201" s="8"/>
      <c r="M201" s="8"/>
      <c r="N201" s="8"/>
    </row>
    <row r="202" spans="1:14" ht="12.75">
      <c r="A202" s="8"/>
      <c r="B202" s="8"/>
      <c r="C202" s="8"/>
      <c r="D202" s="8"/>
      <c r="E202" s="8"/>
      <c r="F202" s="8"/>
      <c r="G202" s="8"/>
      <c r="H202" s="8"/>
      <c r="I202" s="8"/>
      <c r="J202" s="8"/>
      <c r="K202" s="8"/>
      <c r="L202" s="8"/>
      <c r="M202" s="8"/>
      <c r="N202" s="8"/>
    </row>
    <row r="203" spans="1:14" ht="12.75">
      <c r="A203" s="8"/>
      <c r="B203" s="8"/>
      <c r="C203" s="8"/>
      <c r="D203" s="8"/>
      <c r="E203" s="8"/>
      <c r="F203" s="8"/>
      <c r="G203" s="8"/>
      <c r="H203" s="8"/>
      <c r="I203" s="8"/>
      <c r="J203" s="8"/>
      <c r="K203" s="8"/>
      <c r="L203" s="8"/>
      <c r="M203" s="8"/>
      <c r="N203" s="8"/>
    </row>
    <row r="204" spans="1:14" ht="12.75">
      <c r="A204" s="8"/>
      <c r="B204" s="8"/>
      <c r="C204" s="8"/>
      <c r="D204" s="8"/>
      <c r="E204" s="8"/>
      <c r="F204" s="8"/>
      <c r="G204" s="8"/>
      <c r="H204" s="8"/>
      <c r="I204" s="8"/>
      <c r="J204" s="8"/>
      <c r="K204" s="8"/>
      <c r="L204" s="8"/>
      <c r="M204" s="8"/>
      <c r="N204" s="8"/>
    </row>
    <row r="205" spans="1:14" ht="12.75">
      <c r="A205" s="8"/>
      <c r="B205" s="8"/>
      <c r="C205" s="8"/>
      <c r="D205" s="8"/>
      <c r="E205" s="8"/>
      <c r="F205" s="8"/>
      <c r="G205" s="8"/>
      <c r="H205" s="8"/>
      <c r="I205" s="8"/>
      <c r="J205" s="8"/>
      <c r="K205" s="8"/>
      <c r="L205" s="8"/>
      <c r="M205" s="8"/>
      <c r="N205" s="8"/>
    </row>
    <row r="206" spans="1:14" ht="12.75">
      <c r="A206" s="8"/>
      <c r="B206" s="8"/>
      <c r="C206" s="8"/>
      <c r="D206" s="8"/>
      <c r="E206" s="8"/>
      <c r="F206" s="8"/>
      <c r="G206" s="8"/>
      <c r="H206" s="8"/>
      <c r="I206" s="8"/>
      <c r="J206" s="8"/>
      <c r="K206" s="8"/>
      <c r="L206" s="8"/>
      <c r="M206" s="8"/>
      <c r="N206" s="8"/>
    </row>
    <row r="207" spans="1:14" ht="12.75">
      <c r="A207" s="8"/>
      <c r="B207" s="8"/>
      <c r="C207" s="8"/>
      <c r="D207" s="8"/>
      <c r="E207" s="8"/>
      <c r="F207" s="8"/>
      <c r="G207" s="8"/>
      <c r="H207" s="8"/>
      <c r="I207" s="8"/>
      <c r="J207" s="8"/>
      <c r="K207" s="8"/>
      <c r="L207" s="8"/>
      <c r="M207" s="8"/>
      <c r="N207" s="8"/>
    </row>
    <row r="208" spans="1:14" ht="12.75">
      <c r="A208" s="8"/>
      <c r="B208" s="8"/>
      <c r="C208" s="8"/>
      <c r="D208" s="8"/>
      <c r="E208" s="8"/>
      <c r="F208" s="8"/>
      <c r="G208" s="8"/>
      <c r="H208" s="8"/>
      <c r="I208" s="8"/>
      <c r="J208" s="8"/>
      <c r="K208" s="8"/>
      <c r="L208" s="8"/>
      <c r="M208" s="8"/>
      <c r="N208" s="8"/>
    </row>
    <row r="209" spans="1:14" ht="12.75">
      <c r="A209" s="8"/>
      <c r="B209" s="8"/>
      <c r="C209" s="8"/>
      <c r="D209" s="8"/>
      <c r="E209" s="8"/>
      <c r="F209" s="8"/>
      <c r="G209" s="8"/>
      <c r="H209" s="8"/>
      <c r="I209" s="8"/>
      <c r="J209" s="8"/>
      <c r="K209" s="8"/>
      <c r="L209" s="8"/>
      <c r="M209" s="8"/>
      <c r="N209" s="8"/>
    </row>
    <row r="210" spans="1:14" ht="12.75">
      <c r="A210" s="8"/>
      <c r="B210" s="8"/>
      <c r="C210" s="8"/>
      <c r="D210" s="8"/>
      <c r="E210" s="8"/>
      <c r="F210" s="8"/>
      <c r="G210" s="8"/>
      <c r="H210" s="8"/>
      <c r="I210" s="8"/>
      <c r="J210" s="8"/>
      <c r="K210" s="8"/>
      <c r="L210" s="8"/>
      <c r="M210" s="8"/>
      <c r="N210" s="8"/>
    </row>
    <row r="211" spans="1:14" ht="12.75">
      <c r="A211" s="8"/>
      <c r="B211" s="8"/>
      <c r="C211" s="8"/>
      <c r="D211" s="8"/>
      <c r="E211" s="8"/>
      <c r="F211" s="8"/>
      <c r="G211" s="8"/>
      <c r="H211" s="8"/>
      <c r="I211" s="8"/>
      <c r="J211" s="8"/>
      <c r="K211" s="8"/>
      <c r="L211" s="8"/>
      <c r="M211" s="8"/>
      <c r="N211" s="8"/>
    </row>
    <row r="212" spans="1:14" ht="12.75">
      <c r="A212" s="8"/>
      <c r="B212" s="8"/>
      <c r="C212" s="8"/>
      <c r="D212" s="8"/>
      <c r="E212" s="8"/>
      <c r="F212" s="8"/>
      <c r="G212" s="8"/>
      <c r="H212" s="8"/>
      <c r="I212" s="8"/>
      <c r="J212" s="8"/>
      <c r="K212" s="8"/>
      <c r="L212" s="8"/>
      <c r="M212" s="8"/>
      <c r="N212" s="8"/>
    </row>
    <row r="213" spans="1:14" ht="12.75">
      <c r="A213" s="8"/>
      <c r="B213" s="8"/>
      <c r="C213" s="8"/>
      <c r="D213" s="8"/>
      <c r="E213" s="8"/>
      <c r="F213" s="8"/>
      <c r="G213" s="8"/>
      <c r="H213" s="8"/>
      <c r="I213" s="8"/>
      <c r="J213" s="8"/>
      <c r="K213" s="8"/>
      <c r="L213" s="8"/>
      <c r="M213" s="8"/>
      <c r="N213" s="8"/>
    </row>
    <row r="214" spans="1:14" ht="12.75">
      <c r="A214" s="8"/>
      <c r="B214" s="8"/>
      <c r="C214" s="8"/>
      <c r="D214" s="8"/>
      <c r="E214" s="8"/>
      <c r="F214" s="8"/>
      <c r="G214" s="8"/>
      <c r="H214" s="8"/>
      <c r="I214" s="8"/>
      <c r="J214" s="8"/>
      <c r="K214" s="8"/>
      <c r="L214" s="8"/>
      <c r="M214" s="8"/>
      <c r="N214" s="8"/>
    </row>
    <row r="215" spans="1:14" ht="12.75">
      <c r="A215" s="8"/>
      <c r="B215" s="8"/>
      <c r="C215" s="8"/>
      <c r="D215" s="8"/>
      <c r="E215" s="8"/>
      <c r="F215" s="8"/>
      <c r="G215" s="8"/>
      <c r="H215" s="8"/>
      <c r="I215" s="8"/>
      <c r="J215" s="8"/>
      <c r="K215" s="8"/>
      <c r="L215" s="8"/>
      <c r="M215" s="8"/>
      <c r="N215" s="8"/>
    </row>
    <row r="216" spans="1:14" ht="12.75">
      <c r="A216" s="8"/>
      <c r="B216" s="8"/>
      <c r="C216" s="8"/>
      <c r="D216" s="8"/>
      <c r="E216" s="8"/>
      <c r="F216" s="8"/>
      <c r="G216" s="8"/>
      <c r="H216" s="8"/>
      <c r="I216" s="8"/>
      <c r="J216" s="8"/>
      <c r="K216" s="8"/>
      <c r="L216" s="8"/>
      <c r="M216" s="8"/>
      <c r="N216" s="8"/>
    </row>
    <row r="217" spans="1:14" ht="12.75">
      <c r="A217" s="8"/>
      <c r="B217" s="8"/>
      <c r="C217" s="8"/>
      <c r="D217" s="8"/>
      <c r="E217" s="8"/>
      <c r="F217" s="8"/>
      <c r="G217" s="8"/>
      <c r="H217" s="8"/>
      <c r="I217" s="8"/>
      <c r="J217" s="8"/>
      <c r="K217" s="8"/>
      <c r="L217" s="8"/>
      <c r="M217" s="8"/>
      <c r="N217" s="8"/>
    </row>
    <row r="218" spans="1:14" ht="12.75">
      <c r="A218" s="8"/>
      <c r="B218" s="8"/>
      <c r="C218" s="8"/>
      <c r="D218" s="8"/>
      <c r="E218" s="8"/>
      <c r="F218" s="8"/>
      <c r="G218" s="8"/>
      <c r="H218" s="8"/>
      <c r="I218" s="8"/>
      <c r="J218" s="8"/>
      <c r="K218" s="8"/>
      <c r="L218" s="8"/>
      <c r="M218" s="8"/>
      <c r="N218" s="8"/>
    </row>
    <row r="219" spans="1:14" ht="12.75">
      <c r="A219" s="8"/>
      <c r="B219" s="8"/>
      <c r="C219" s="8"/>
      <c r="D219" s="8"/>
      <c r="E219" s="8"/>
      <c r="F219" s="8"/>
      <c r="G219" s="8"/>
      <c r="H219" s="8"/>
      <c r="I219" s="8"/>
      <c r="J219" s="8"/>
      <c r="K219" s="8"/>
      <c r="L219" s="8"/>
      <c r="M219" s="8"/>
      <c r="N219" s="8"/>
    </row>
    <row r="220" spans="1:14" ht="12.75">
      <c r="A220" s="8"/>
      <c r="B220" s="8"/>
      <c r="C220" s="8"/>
      <c r="D220" s="8"/>
      <c r="E220" s="8"/>
      <c r="F220" s="8"/>
      <c r="G220" s="8"/>
      <c r="H220" s="8"/>
      <c r="I220" s="8"/>
      <c r="J220" s="8"/>
      <c r="K220" s="8"/>
      <c r="L220" s="8"/>
      <c r="M220" s="8"/>
      <c r="N220" s="8"/>
    </row>
    <row r="221" spans="1:14" ht="12.75">
      <c r="A221" s="8"/>
      <c r="B221" s="8"/>
      <c r="C221" s="8"/>
      <c r="D221" s="8"/>
      <c r="E221" s="8"/>
      <c r="F221" s="8"/>
      <c r="G221" s="8"/>
      <c r="H221" s="8"/>
      <c r="I221" s="8"/>
      <c r="J221" s="8"/>
      <c r="K221" s="8"/>
      <c r="L221" s="8"/>
      <c r="M221" s="8"/>
      <c r="N221" s="8"/>
    </row>
    <row r="222" spans="1:14" ht="12.75">
      <c r="A222" s="8"/>
      <c r="B222" s="8"/>
      <c r="C222" s="8"/>
      <c r="D222" s="8"/>
      <c r="E222" s="8"/>
      <c r="F222" s="8"/>
      <c r="G222" s="8"/>
      <c r="H222" s="8"/>
      <c r="I222" s="8"/>
      <c r="J222" s="8"/>
      <c r="K222" s="8"/>
      <c r="L222" s="8"/>
      <c r="M222" s="8"/>
      <c r="N222" s="8"/>
    </row>
    <row r="223" spans="1:14" ht="12.75">
      <c r="A223" s="8"/>
      <c r="B223" s="8"/>
      <c r="C223" s="8"/>
      <c r="D223" s="8"/>
      <c r="E223" s="8"/>
      <c r="F223" s="8"/>
      <c r="G223" s="8"/>
      <c r="H223" s="8"/>
      <c r="I223" s="8"/>
      <c r="J223" s="8"/>
      <c r="K223" s="8"/>
      <c r="L223" s="8"/>
      <c r="M223" s="8"/>
      <c r="N223" s="8"/>
    </row>
    <row r="224" spans="1:14" ht="12.75">
      <c r="A224" s="8"/>
      <c r="B224" s="8"/>
      <c r="C224" s="8"/>
      <c r="D224" s="8"/>
      <c r="E224" s="8"/>
      <c r="F224" s="8"/>
      <c r="G224" s="8"/>
      <c r="H224" s="8"/>
      <c r="I224" s="8"/>
      <c r="J224" s="8"/>
      <c r="K224" s="8"/>
      <c r="L224" s="8"/>
      <c r="M224" s="8"/>
      <c r="N224" s="8"/>
    </row>
    <row r="225" spans="1:14" ht="12.75">
      <c r="A225" s="8"/>
      <c r="B225" s="8"/>
      <c r="C225" s="8"/>
      <c r="D225" s="8"/>
      <c r="E225" s="8"/>
      <c r="F225" s="8"/>
      <c r="G225" s="8"/>
      <c r="H225" s="8"/>
      <c r="I225" s="8"/>
      <c r="J225" s="8"/>
      <c r="K225" s="8"/>
      <c r="L225" s="8"/>
      <c r="M225" s="8"/>
      <c r="N225" s="8"/>
    </row>
    <row r="226" spans="1:14" ht="12.75">
      <c r="A226" s="8"/>
      <c r="B226" s="8"/>
      <c r="C226" s="8"/>
      <c r="D226" s="8"/>
      <c r="E226" s="8"/>
      <c r="F226" s="8"/>
      <c r="G226" s="8"/>
      <c r="H226" s="8"/>
      <c r="I226" s="8"/>
      <c r="J226" s="8"/>
      <c r="K226" s="8"/>
      <c r="L226" s="8"/>
      <c r="M226" s="8"/>
      <c r="N226" s="8"/>
    </row>
    <row r="227" spans="1:14" ht="12.75">
      <c r="A227" s="8"/>
      <c r="B227" s="8"/>
      <c r="C227" s="8"/>
      <c r="D227" s="8"/>
      <c r="E227" s="8"/>
      <c r="F227" s="8"/>
      <c r="G227" s="8"/>
      <c r="H227" s="8"/>
      <c r="I227" s="8"/>
      <c r="J227" s="8"/>
      <c r="K227" s="8"/>
      <c r="L227" s="8"/>
      <c r="M227" s="8"/>
      <c r="N227" s="8"/>
    </row>
    <row r="228" spans="1:14" ht="12.75">
      <c r="A228" s="8"/>
      <c r="B228" s="8"/>
      <c r="C228" s="8"/>
      <c r="D228" s="8"/>
      <c r="E228" s="8"/>
      <c r="F228" s="8"/>
      <c r="G228" s="8"/>
      <c r="H228" s="8"/>
      <c r="I228" s="8"/>
      <c r="J228" s="8"/>
      <c r="K228" s="8"/>
      <c r="L228" s="8"/>
      <c r="M228" s="8"/>
      <c r="N228" s="8"/>
    </row>
    <row r="229" spans="1:14" ht="12.75">
      <c r="A229" s="8"/>
      <c r="B229" s="8"/>
      <c r="C229" s="8"/>
      <c r="D229" s="8"/>
      <c r="E229" s="8"/>
      <c r="F229" s="8"/>
      <c r="G229" s="8"/>
      <c r="H229" s="8"/>
      <c r="I229" s="8"/>
      <c r="J229" s="8"/>
      <c r="K229" s="8"/>
      <c r="L229" s="8"/>
      <c r="M229" s="8"/>
      <c r="N229" s="8"/>
    </row>
    <row r="230" spans="1:14" ht="12.75">
      <c r="A230" s="8"/>
      <c r="B230" s="8"/>
      <c r="C230" s="8"/>
      <c r="D230" s="8"/>
      <c r="E230" s="8"/>
      <c r="F230" s="8"/>
      <c r="G230" s="8"/>
      <c r="H230" s="8"/>
      <c r="I230" s="8"/>
      <c r="J230" s="8"/>
      <c r="K230" s="8"/>
      <c r="L230" s="8"/>
      <c r="M230" s="8"/>
      <c r="N230" s="8"/>
    </row>
    <row r="231" spans="1:14" ht="12.75">
      <c r="A231" s="8"/>
      <c r="B231" s="8"/>
      <c r="C231" s="8"/>
      <c r="D231" s="8"/>
      <c r="E231" s="8"/>
      <c r="F231" s="8"/>
      <c r="G231" s="8"/>
      <c r="H231" s="8"/>
      <c r="I231" s="8"/>
      <c r="J231" s="8"/>
      <c r="K231" s="8"/>
      <c r="L231" s="8"/>
      <c r="M231" s="8"/>
      <c r="N231" s="8"/>
    </row>
    <row r="232" spans="1:14" ht="12.75">
      <c r="A232" s="8"/>
      <c r="B232" s="8"/>
      <c r="C232" s="8"/>
      <c r="D232" s="8"/>
      <c r="E232" s="8"/>
      <c r="F232" s="8"/>
      <c r="G232" s="8"/>
      <c r="H232" s="8"/>
      <c r="I232" s="8"/>
      <c r="J232" s="8"/>
      <c r="K232" s="8"/>
      <c r="L232" s="8"/>
      <c r="M232" s="8"/>
      <c r="N232" s="8"/>
    </row>
    <row r="233" spans="1:14" ht="12.75">
      <c r="A233" s="8"/>
      <c r="B233" s="8"/>
      <c r="C233" s="8"/>
      <c r="D233" s="8"/>
      <c r="E233" s="8"/>
      <c r="F233" s="8"/>
      <c r="G233" s="8"/>
      <c r="H233" s="8"/>
      <c r="I233" s="8"/>
      <c r="J233" s="8"/>
      <c r="K233" s="8"/>
      <c r="L233" s="8"/>
      <c r="M233" s="8"/>
      <c r="N233" s="8"/>
    </row>
    <row r="234" spans="1:14" ht="12.75">
      <c r="A234" s="8"/>
      <c r="B234" s="8"/>
      <c r="C234" s="8"/>
      <c r="D234" s="8"/>
      <c r="E234" s="8"/>
      <c r="F234" s="8"/>
      <c r="G234" s="8"/>
      <c r="H234" s="8"/>
      <c r="I234" s="8"/>
      <c r="J234" s="8"/>
      <c r="K234" s="8"/>
      <c r="L234" s="8"/>
      <c r="M234" s="8"/>
      <c r="N234" s="8"/>
    </row>
    <row r="235" spans="1:14" ht="12.75">
      <c r="A235" s="8"/>
      <c r="B235" s="8"/>
      <c r="C235" s="8"/>
      <c r="D235" s="8"/>
      <c r="E235" s="8"/>
      <c r="F235" s="8"/>
      <c r="G235" s="8"/>
      <c r="H235" s="8"/>
      <c r="I235" s="8"/>
      <c r="J235" s="8"/>
      <c r="K235" s="8"/>
      <c r="L235" s="8"/>
      <c r="M235" s="8"/>
      <c r="N235" s="8"/>
    </row>
    <row r="236" spans="1:14" ht="12.75">
      <c r="A236" s="8"/>
      <c r="B236" s="8"/>
      <c r="C236" s="8"/>
      <c r="D236" s="8"/>
      <c r="E236" s="8"/>
      <c r="F236" s="8"/>
      <c r="G236" s="8"/>
      <c r="H236" s="8"/>
      <c r="I236" s="8"/>
      <c r="J236" s="8"/>
      <c r="K236" s="8"/>
      <c r="L236" s="8"/>
      <c r="M236" s="8"/>
      <c r="N236" s="8"/>
    </row>
    <row r="237" spans="1:14" ht="12.75">
      <c r="A237" s="8"/>
      <c r="B237" s="8"/>
      <c r="C237" s="8"/>
      <c r="D237" s="8"/>
      <c r="E237" s="8"/>
      <c r="F237" s="8"/>
      <c r="G237" s="8"/>
      <c r="H237" s="8"/>
      <c r="I237" s="8"/>
      <c r="J237" s="8"/>
      <c r="K237" s="8"/>
      <c r="L237" s="8"/>
      <c r="M237" s="8"/>
      <c r="N237" s="8"/>
    </row>
    <row r="238" spans="1:14" ht="12.75">
      <c r="A238" s="8"/>
      <c r="B238" s="8"/>
      <c r="C238" s="8"/>
      <c r="D238" s="8"/>
      <c r="E238" s="8"/>
      <c r="F238" s="8"/>
      <c r="G238" s="8"/>
      <c r="H238" s="8"/>
      <c r="I238" s="8"/>
      <c r="J238" s="8"/>
      <c r="K238" s="8"/>
      <c r="L238" s="8"/>
      <c r="M238" s="8"/>
      <c r="N238" s="8"/>
    </row>
    <row r="239" spans="1:14" ht="12.75">
      <c r="A239" s="8"/>
      <c r="B239" s="8"/>
      <c r="C239" s="8"/>
      <c r="D239" s="8"/>
      <c r="E239" s="8"/>
      <c r="F239" s="8"/>
      <c r="G239" s="8"/>
      <c r="H239" s="8"/>
      <c r="I239" s="8"/>
      <c r="J239" s="8"/>
      <c r="K239" s="8"/>
      <c r="L239" s="8"/>
      <c r="M239" s="8"/>
      <c r="N239" s="8"/>
    </row>
    <row r="240" spans="1:14" ht="12.75">
      <c r="A240" s="8"/>
      <c r="B240" s="8"/>
      <c r="C240" s="8"/>
      <c r="D240" s="8"/>
      <c r="E240" s="8"/>
      <c r="F240" s="8"/>
      <c r="G240" s="8"/>
      <c r="H240" s="8"/>
      <c r="I240" s="8"/>
      <c r="J240" s="8"/>
      <c r="K240" s="8"/>
      <c r="L240" s="8"/>
      <c r="M240" s="8"/>
      <c r="N240" s="8"/>
    </row>
    <row r="241" spans="1:14" ht="12.75">
      <c r="A241" s="8"/>
      <c r="B241" s="8"/>
      <c r="C241" s="8"/>
      <c r="D241" s="8"/>
      <c r="E241" s="8"/>
      <c r="F241" s="8"/>
      <c r="G241" s="8"/>
      <c r="H241" s="8"/>
      <c r="I241" s="8"/>
      <c r="J241" s="8"/>
      <c r="K241" s="8"/>
      <c r="L241" s="8"/>
      <c r="M241" s="8"/>
      <c r="N241" s="8"/>
    </row>
    <row r="242" spans="1:14" ht="12.75">
      <c r="A242" s="8"/>
      <c r="B242" s="8"/>
      <c r="C242" s="8"/>
      <c r="D242" s="8"/>
      <c r="E242" s="8"/>
      <c r="F242" s="8"/>
      <c r="G242" s="8"/>
      <c r="H242" s="8"/>
      <c r="I242" s="8"/>
      <c r="J242" s="8"/>
      <c r="K242" s="8"/>
      <c r="L242" s="8"/>
      <c r="M242" s="8"/>
      <c r="N242" s="8"/>
    </row>
    <row r="243" spans="1:14" ht="12.75">
      <c r="A243" s="8"/>
      <c r="B243" s="8"/>
      <c r="C243" s="8"/>
      <c r="D243" s="8"/>
      <c r="E243" s="8"/>
      <c r="F243" s="8"/>
      <c r="G243" s="8"/>
      <c r="H243" s="8"/>
      <c r="I243" s="8"/>
      <c r="J243" s="8"/>
      <c r="K243" s="8"/>
      <c r="L243" s="8"/>
      <c r="M243" s="8"/>
      <c r="N243" s="8"/>
    </row>
    <row r="244" spans="1:14" ht="12.75">
      <c r="A244" s="8"/>
      <c r="B244" s="8"/>
      <c r="C244" s="8"/>
      <c r="D244" s="8"/>
      <c r="E244" s="8"/>
      <c r="F244" s="8"/>
      <c r="G244" s="8"/>
      <c r="H244" s="8"/>
      <c r="I244" s="8"/>
      <c r="J244" s="8"/>
      <c r="K244" s="8"/>
      <c r="L244" s="8"/>
      <c r="M244" s="8"/>
      <c r="N244" s="8"/>
    </row>
    <row r="245" spans="1:14" ht="12.75">
      <c r="A245" s="8"/>
      <c r="B245" s="8"/>
      <c r="C245" s="8"/>
      <c r="D245" s="8"/>
      <c r="E245" s="8"/>
      <c r="F245" s="8"/>
      <c r="G245" s="8"/>
      <c r="H245" s="8"/>
      <c r="I245" s="8"/>
      <c r="J245" s="8"/>
      <c r="K245" s="8"/>
      <c r="L245" s="8"/>
      <c r="M245" s="8"/>
      <c r="N245" s="8"/>
    </row>
    <row r="246" spans="1:14" ht="12.75">
      <c r="A246" s="8"/>
      <c r="B246" s="8"/>
      <c r="C246" s="8"/>
      <c r="D246" s="8"/>
      <c r="E246" s="8"/>
      <c r="F246" s="8"/>
      <c r="G246" s="8"/>
      <c r="H246" s="8"/>
      <c r="I246" s="8"/>
      <c r="J246" s="8"/>
      <c r="K246" s="8"/>
      <c r="L246" s="8"/>
      <c r="M246" s="8"/>
      <c r="N246" s="8"/>
    </row>
    <row r="247" spans="1:14" ht="12.75">
      <c r="A247" s="8"/>
      <c r="B247" s="8"/>
      <c r="C247" s="8"/>
      <c r="D247" s="8"/>
      <c r="E247" s="8"/>
      <c r="F247" s="8"/>
      <c r="G247" s="8"/>
      <c r="H247" s="8"/>
      <c r="I247" s="8"/>
      <c r="J247" s="8"/>
      <c r="K247" s="8"/>
      <c r="L247" s="8"/>
      <c r="M247" s="8"/>
      <c r="N247" s="8"/>
    </row>
    <row r="248" spans="1:14" ht="12.75">
      <c r="A248" s="8"/>
      <c r="B248" s="8"/>
      <c r="C248" s="8"/>
      <c r="D248" s="8"/>
      <c r="E248" s="8"/>
      <c r="F248" s="8"/>
      <c r="G248" s="8"/>
      <c r="H248" s="8"/>
      <c r="I248" s="8"/>
      <c r="J248" s="8"/>
      <c r="K248" s="8"/>
      <c r="L248" s="8"/>
      <c r="M248" s="8"/>
      <c r="N248" s="8"/>
    </row>
    <row r="249" spans="1:14" ht="12.75">
      <c r="A249" s="8"/>
      <c r="B249" s="8"/>
      <c r="C249" s="8"/>
      <c r="D249" s="8"/>
      <c r="E249" s="8"/>
      <c r="F249" s="8"/>
      <c r="G249" s="8"/>
      <c r="H249" s="8"/>
      <c r="I249" s="8"/>
      <c r="J249" s="8"/>
      <c r="K249" s="8"/>
      <c r="L249" s="8"/>
      <c r="M249" s="8"/>
      <c r="N249" s="8"/>
    </row>
    <row r="250" spans="1:14" ht="12.75">
      <c r="A250" s="8"/>
      <c r="B250" s="8"/>
      <c r="C250" s="8"/>
      <c r="D250" s="8"/>
      <c r="E250" s="8"/>
      <c r="F250" s="8"/>
      <c r="G250" s="8"/>
      <c r="H250" s="8"/>
      <c r="I250" s="8"/>
      <c r="J250" s="8"/>
      <c r="K250" s="8"/>
      <c r="L250" s="8"/>
      <c r="M250" s="8"/>
      <c r="N250" s="8"/>
    </row>
    <row r="251" spans="1:14" ht="12.75">
      <c r="A251" s="8"/>
      <c r="B251" s="8"/>
      <c r="C251" s="8"/>
      <c r="D251" s="8"/>
      <c r="E251" s="8"/>
      <c r="F251" s="8"/>
      <c r="G251" s="8"/>
      <c r="H251" s="8"/>
      <c r="I251" s="8"/>
      <c r="J251" s="8"/>
      <c r="K251" s="8"/>
      <c r="L251" s="8"/>
      <c r="M251" s="8"/>
      <c r="N251" s="8"/>
    </row>
    <row r="252" spans="1:14" ht="12.75">
      <c r="A252" s="8"/>
      <c r="B252" s="8"/>
      <c r="C252" s="8"/>
      <c r="D252" s="8"/>
      <c r="E252" s="8"/>
      <c r="F252" s="8"/>
      <c r="G252" s="8"/>
      <c r="H252" s="8"/>
      <c r="I252" s="8"/>
      <c r="J252" s="8"/>
      <c r="K252" s="8"/>
      <c r="L252" s="8"/>
      <c r="M252" s="8"/>
      <c r="N252" s="8"/>
    </row>
    <row r="253" spans="1:14" ht="12.75">
      <c r="A253" s="8"/>
      <c r="B253" s="8"/>
      <c r="C253" s="8"/>
      <c r="D253" s="8"/>
      <c r="E253" s="8"/>
      <c r="F253" s="8"/>
      <c r="G253" s="8"/>
      <c r="H253" s="8"/>
      <c r="I253" s="8"/>
      <c r="J253" s="8"/>
      <c r="K253" s="8"/>
      <c r="L253" s="8"/>
      <c r="M253" s="8"/>
      <c r="N253" s="8"/>
    </row>
    <row r="254" spans="1:14" ht="12.75">
      <c r="A254" s="8"/>
      <c r="B254" s="8"/>
      <c r="C254" s="8"/>
      <c r="D254" s="8"/>
      <c r="E254" s="8"/>
      <c r="F254" s="8"/>
      <c r="G254" s="8"/>
      <c r="H254" s="8"/>
      <c r="I254" s="8"/>
      <c r="J254" s="8"/>
      <c r="K254" s="8"/>
      <c r="L254" s="8"/>
      <c r="M254" s="8"/>
      <c r="N254" s="8"/>
    </row>
    <row r="255" spans="1:14" ht="12.75">
      <c r="A255" s="8"/>
      <c r="B255" s="8"/>
      <c r="C255" s="8"/>
      <c r="D255" s="8"/>
      <c r="E255" s="8"/>
      <c r="F255" s="8"/>
      <c r="G255" s="8"/>
      <c r="H255" s="8"/>
      <c r="I255" s="8"/>
      <c r="J255" s="8"/>
      <c r="K255" s="8"/>
      <c r="L255" s="8"/>
      <c r="M255" s="8"/>
      <c r="N255" s="8"/>
    </row>
    <row r="256" spans="1:14" ht="12.75">
      <c r="A256" s="8"/>
      <c r="B256" s="8"/>
      <c r="C256" s="8"/>
      <c r="D256" s="8"/>
      <c r="E256" s="8"/>
      <c r="F256" s="8"/>
      <c r="G256" s="8"/>
      <c r="H256" s="8"/>
      <c r="I256" s="8"/>
      <c r="J256" s="8"/>
      <c r="K256" s="8"/>
      <c r="L256" s="8"/>
      <c r="M256" s="8"/>
      <c r="N256" s="8"/>
    </row>
    <row r="257" spans="1:14" ht="12.75">
      <c r="A257" s="8"/>
      <c r="B257" s="8"/>
      <c r="C257" s="8"/>
      <c r="D257" s="8"/>
      <c r="E257" s="8"/>
      <c r="F257" s="8"/>
      <c r="G257" s="8"/>
      <c r="H257" s="8"/>
      <c r="I257" s="8"/>
      <c r="J257" s="8"/>
      <c r="K257" s="8"/>
      <c r="L257" s="8"/>
      <c r="M257" s="8"/>
      <c r="N257" s="8"/>
    </row>
    <row r="258" spans="1:14" ht="12.75">
      <c r="A258" s="8"/>
      <c r="B258" s="8"/>
      <c r="C258" s="8"/>
      <c r="D258" s="8"/>
      <c r="E258" s="8"/>
      <c r="F258" s="8"/>
      <c r="G258" s="8"/>
      <c r="H258" s="8"/>
      <c r="I258" s="8"/>
      <c r="J258" s="8"/>
      <c r="K258" s="8"/>
      <c r="L258" s="8"/>
      <c r="M258" s="8"/>
      <c r="N258" s="8"/>
    </row>
    <row r="259" spans="1:14" ht="12.75">
      <c r="A259" s="8"/>
      <c r="B259" s="8"/>
      <c r="C259" s="8"/>
      <c r="D259" s="8"/>
      <c r="E259" s="8"/>
      <c r="F259" s="8"/>
      <c r="G259" s="8"/>
      <c r="H259" s="8"/>
      <c r="I259" s="8"/>
      <c r="J259" s="8"/>
      <c r="K259" s="8"/>
      <c r="L259" s="8"/>
      <c r="M259" s="8"/>
      <c r="N259" s="8"/>
    </row>
    <row r="260" spans="1:14" ht="12.75">
      <c r="A260" s="8"/>
      <c r="B260" s="8"/>
      <c r="C260" s="8"/>
      <c r="D260" s="8"/>
      <c r="E260" s="8"/>
      <c r="F260" s="8"/>
      <c r="G260" s="8"/>
      <c r="H260" s="8"/>
      <c r="I260" s="8"/>
      <c r="J260" s="8"/>
      <c r="K260" s="8"/>
      <c r="L260" s="8"/>
      <c r="M260" s="8"/>
      <c r="N260" s="8"/>
    </row>
    <row r="261" spans="1:14" ht="12.75">
      <c r="A261" s="8"/>
      <c r="B261" s="8"/>
      <c r="C261" s="8"/>
      <c r="D261" s="8"/>
      <c r="E261" s="8"/>
      <c r="F261" s="8"/>
      <c r="G261" s="8"/>
      <c r="H261" s="8"/>
      <c r="I261" s="8"/>
      <c r="J261" s="8"/>
      <c r="K261" s="8"/>
      <c r="L261" s="8"/>
      <c r="M261" s="8"/>
      <c r="N261" s="8"/>
    </row>
    <row r="262" spans="1:14" ht="12.75">
      <c r="A262" s="8"/>
      <c r="B262" s="8"/>
      <c r="C262" s="8"/>
      <c r="D262" s="8"/>
      <c r="E262" s="8"/>
      <c r="F262" s="8"/>
      <c r="G262" s="8"/>
      <c r="H262" s="8"/>
      <c r="I262" s="8"/>
      <c r="J262" s="8"/>
      <c r="K262" s="8"/>
      <c r="L262" s="8"/>
      <c r="M262" s="8"/>
      <c r="N262" s="8"/>
    </row>
    <row r="263" spans="1:14" ht="12.75">
      <c r="A263" s="8"/>
      <c r="B263" s="8"/>
      <c r="C263" s="8"/>
      <c r="D263" s="8"/>
      <c r="E263" s="8"/>
      <c r="F263" s="8"/>
      <c r="G263" s="8"/>
      <c r="H263" s="8"/>
      <c r="I263" s="8"/>
      <c r="J263" s="8"/>
      <c r="K263" s="8"/>
      <c r="L263" s="8"/>
      <c r="M263" s="8"/>
      <c r="N263" s="8"/>
    </row>
    <row r="264" spans="1:14" ht="12.75">
      <c r="A264" s="8"/>
      <c r="B264" s="8"/>
      <c r="C264" s="8"/>
      <c r="D264" s="8"/>
      <c r="E264" s="8"/>
      <c r="F264" s="8"/>
      <c r="G264" s="8"/>
      <c r="H264" s="8"/>
      <c r="I264" s="8"/>
      <c r="J264" s="8"/>
      <c r="K264" s="8"/>
      <c r="L264" s="8"/>
      <c r="M264" s="8"/>
      <c r="N264" s="8"/>
    </row>
    <row r="265" spans="1:14" ht="12.75">
      <c r="A265" s="8"/>
      <c r="B265" s="8"/>
      <c r="C265" s="8"/>
      <c r="D265" s="8"/>
      <c r="E265" s="8"/>
      <c r="F265" s="8"/>
      <c r="G265" s="8"/>
      <c r="H265" s="8"/>
      <c r="I265" s="8"/>
      <c r="J265" s="8"/>
      <c r="K265" s="8"/>
      <c r="L265" s="8"/>
      <c r="M265" s="8"/>
      <c r="N265" s="8"/>
    </row>
    <row r="266" spans="1:14" ht="12.75">
      <c r="A266" s="8"/>
      <c r="B266" s="8"/>
      <c r="C266" s="8"/>
      <c r="D266" s="8"/>
      <c r="E266" s="8"/>
      <c r="F266" s="8"/>
      <c r="G266" s="8"/>
      <c r="H266" s="8"/>
      <c r="I266" s="8"/>
      <c r="J266" s="8"/>
      <c r="K266" s="8"/>
      <c r="L266" s="8"/>
      <c r="M266" s="8"/>
      <c r="N266" s="8"/>
    </row>
    <row r="267" spans="1:14" ht="12.75">
      <c r="A267" s="8"/>
      <c r="B267" s="8"/>
      <c r="C267" s="8"/>
      <c r="D267" s="8"/>
      <c r="E267" s="8"/>
      <c r="F267" s="8"/>
      <c r="G267" s="8"/>
      <c r="H267" s="8"/>
      <c r="I267" s="8"/>
      <c r="J267" s="8"/>
      <c r="K267" s="8"/>
      <c r="L267" s="8"/>
      <c r="M267" s="8"/>
      <c r="N267" s="8"/>
    </row>
    <row r="268" spans="1:14" ht="12.75">
      <c r="A268" s="8"/>
      <c r="B268" s="8"/>
      <c r="C268" s="8"/>
      <c r="D268" s="8"/>
      <c r="E268" s="8"/>
      <c r="F268" s="8"/>
      <c r="G268" s="8"/>
      <c r="H268" s="8"/>
      <c r="I268" s="8"/>
      <c r="J268" s="8"/>
      <c r="K268" s="8"/>
      <c r="L268" s="8"/>
      <c r="M268" s="8"/>
      <c r="N268" s="8"/>
    </row>
    <row r="269" spans="1:14" ht="12.75">
      <c r="A269" s="8"/>
      <c r="B269" s="8"/>
      <c r="C269" s="8"/>
      <c r="D269" s="8"/>
      <c r="E269" s="8"/>
      <c r="F269" s="8"/>
      <c r="G269" s="8"/>
      <c r="H269" s="8"/>
      <c r="I269" s="8"/>
      <c r="J269" s="8"/>
      <c r="K269" s="8"/>
      <c r="L269" s="8"/>
      <c r="M269" s="8"/>
      <c r="N269" s="8"/>
    </row>
    <row r="270" spans="1:14" ht="12.75">
      <c r="A270" s="8"/>
      <c r="B270" s="8"/>
      <c r="C270" s="8"/>
      <c r="D270" s="8"/>
      <c r="E270" s="8"/>
      <c r="F270" s="8"/>
      <c r="G270" s="8"/>
      <c r="H270" s="8"/>
      <c r="I270" s="8"/>
      <c r="J270" s="8"/>
      <c r="K270" s="8"/>
      <c r="L270" s="8"/>
      <c r="M270" s="8"/>
      <c r="N270" s="8"/>
    </row>
    <row r="271" spans="1:14" ht="12.75">
      <c r="A271" s="8"/>
      <c r="B271" s="8"/>
      <c r="C271" s="8"/>
      <c r="D271" s="8"/>
      <c r="E271" s="8"/>
      <c r="F271" s="8"/>
      <c r="G271" s="8"/>
      <c r="H271" s="8"/>
      <c r="I271" s="8"/>
      <c r="J271" s="8"/>
      <c r="K271" s="8"/>
      <c r="L271" s="8"/>
      <c r="M271" s="8"/>
      <c r="N271" s="8"/>
    </row>
    <row r="272" spans="1:14" ht="12.75">
      <c r="A272" s="8"/>
      <c r="B272" s="8"/>
      <c r="C272" s="8"/>
      <c r="D272" s="8"/>
      <c r="E272" s="8"/>
      <c r="F272" s="8"/>
      <c r="G272" s="8"/>
      <c r="H272" s="8"/>
      <c r="I272" s="8"/>
      <c r="J272" s="8"/>
      <c r="K272" s="8"/>
      <c r="L272" s="8"/>
      <c r="M272" s="8"/>
      <c r="N272" s="8"/>
    </row>
    <row r="273" spans="1:14" ht="12.75">
      <c r="A273" s="8"/>
      <c r="B273" s="8"/>
      <c r="C273" s="8"/>
      <c r="D273" s="8"/>
      <c r="E273" s="8"/>
      <c r="F273" s="8"/>
      <c r="G273" s="8"/>
      <c r="H273" s="8"/>
      <c r="I273" s="8"/>
      <c r="J273" s="8"/>
      <c r="K273" s="8"/>
      <c r="L273" s="8"/>
      <c r="M273" s="8"/>
      <c r="N273" s="8"/>
    </row>
    <row r="274" spans="1:14" ht="12.75">
      <c r="A274" s="8"/>
      <c r="B274" s="8"/>
      <c r="C274" s="8"/>
      <c r="D274" s="8"/>
      <c r="E274" s="8"/>
      <c r="F274" s="8"/>
      <c r="G274" s="8"/>
      <c r="H274" s="8"/>
      <c r="I274" s="8"/>
      <c r="J274" s="8"/>
      <c r="K274" s="8"/>
      <c r="L274" s="8"/>
      <c r="M274" s="8"/>
      <c r="N274" s="8"/>
    </row>
    <row r="275" spans="1:14" ht="12.75">
      <c r="A275" s="8"/>
      <c r="B275" s="8"/>
      <c r="C275" s="8"/>
      <c r="D275" s="8"/>
      <c r="E275" s="8"/>
      <c r="F275" s="8"/>
      <c r="G275" s="8"/>
      <c r="H275" s="8"/>
      <c r="I275" s="8"/>
      <c r="J275" s="8"/>
      <c r="K275" s="8"/>
      <c r="L275" s="8"/>
      <c r="M275" s="8"/>
      <c r="N275" s="8"/>
    </row>
    <row r="276" spans="1:14" ht="12.75">
      <c r="A276" s="8"/>
      <c r="B276" s="8"/>
      <c r="C276" s="8"/>
      <c r="D276" s="8"/>
      <c r="E276" s="8"/>
      <c r="F276" s="8"/>
      <c r="G276" s="8"/>
      <c r="H276" s="8"/>
      <c r="I276" s="8"/>
      <c r="J276" s="8"/>
      <c r="K276" s="8"/>
      <c r="L276" s="8"/>
      <c r="M276" s="8"/>
      <c r="N276" s="8"/>
    </row>
    <row r="277" spans="1:14" ht="12.75">
      <c r="A277" s="8"/>
      <c r="B277" s="8"/>
      <c r="C277" s="8"/>
      <c r="D277" s="8"/>
      <c r="E277" s="8"/>
      <c r="F277" s="8"/>
      <c r="G277" s="8"/>
      <c r="H277" s="8"/>
      <c r="I277" s="8"/>
      <c r="J277" s="8"/>
      <c r="K277" s="8"/>
      <c r="L277" s="8"/>
      <c r="M277" s="8"/>
      <c r="N277" s="8"/>
    </row>
    <row r="278" spans="1:14" ht="12.75">
      <c r="A278" s="8"/>
      <c r="B278" s="8"/>
      <c r="C278" s="8"/>
      <c r="D278" s="8"/>
      <c r="E278" s="8"/>
      <c r="F278" s="8"/>
      <c r="G278" s="8"/>
      <c r="H278" s="8"/>
      <c r="I278" s="8"/>
      <c r="J278" s="8"/>
      <c r="K278" s="8"/>
      <c r="L278" s="8"/>
      <c r="M278" s="8"/>
      <c r="N278" s="8"/>
    </row>
    <row r="279" spans="1:14" ht="12.75">
      <c r="A279" s="8"/>
      <c r="B279" s="8"/>
      <c r="C279" s="8"/>
      <c r="D279" s="8"/>
      <c r="E279" s="8"/>
      <c r="F279" s="8"/>
      <c r="G279" s="8"/>
      <c r="H279" s="8"/>
      <c r="I279" s="8"/>
      <c r="J279" s="8"/>
      <c r="K279" s="8"/>
      <c r="L279" s="8"/>
      <c r="M279" s="8"/>
      <c r="N279" s="8"/>
    </row>
    <row r="280" spans="1:14" ht="12.75">
      <c r="A280" s="8"/>
      <c r="B280" s="8"/>
      <c r="C280" s="8"/>
      <c r="D280" s="8"/>
      <c r="E280" s="8"/>
      <c r="F280" s="8"/>
      <c r="G280" s="8"/>
      <c r="H280" s="8"/>
      <c r="I280" s="8"/>
      <c r="J280" s="8"/>
      <c r="K280" s="8"/>
      <c r="L280" s="8"/>
      <c r="M280" s="8"/>
      <c r="N280" s="8"/>
    </row>
    <row r="281" spans="1:14" ht="12.75">
      <c r="A281" s="8"/>
      <c r="B281" s="8"/>
      <c r="C281" s="8"/>
      <c r="D281" s="8"/>
      <c r="E281" s="8"/>
      <c r="F281" s="8"/>
      <c r="G281" s="8"/>
      <c r="H281" s="8"/>
      <c r="I281" s="8"/>
      <c r="J281" s="8"/>
      <c r="K281" s="8"/>
      <c r="L281" s="8"/>
      <c r="M281" s="8"/>
      <c r="N281" s="8"/>
    </row>
    <row r="282" spans="1:14" ht="12.75">
      <c r="A282" s="8"/>
      <c r="B282" s="8"/>
      <c r="C282" s="8"/>
      <c r="D282" s="8"/>
      <c r="E282" s="8"/>
      <c r="F282" s="8"/>
      <c r="G282" s="8"/>
      <c r="H282" s="8"/>
      <c r="I282" s="8"/>
      <c r="J282" s="8"/>
      <c r="K282" s="8"/>
      <c r="L282" s="8"/>
      <c r="M282" s="8"/>
      <c r="N282" s="8"/>
    </row>
    <row r="283" spans="1:14" ht="12.75">
      <c r="A283" s="8"/>
      <c r="B283" s="8"/>
      <c r="C283" s="8"/>
      <c r="D283" s="8"/>
      <c r="E283" s="8"/>
      <c r="F283" s="8"/>
      <c r="G283" s="8"/>
      <c r="H283" s="8"/>
      <c r="I283" s="8"/>
      <c r="J283" s="8"/>
      <c r="K283" s="8"/>
      <c r="L283" s="8"/>
      <c r="M283" s="8"/>
      <c r="N283" s="8"/>
    </row>
    <row r="284" spans="1:14" ht="12.75">
      <c r="A284" s="8"/>
      <c r="B284" s="8"/>
      <c r="C284" s="8"/>
      <c r="D284" s="8"/>
      <c r="E284" s="8"/>
      <c r="F284" s="8"/>
      <c r="G284" s="8"/>
      <c r="H284" s="8"/>
      <c r="I284" s="8"/>
      <c r="J284" s="8"/>
      <c r="K284" s="8"/>
      <c r="L284" s="8"/>
      <c r="M284" s="8"/>
      <c r="N284" s="8"/>
    </row>
    <row r="285" spans="1:14" ht="12.75">
      <c r="A285" s="8"/>
      <c r="B285" s="8"/>
      <c r="C285" s="8"/>
      <c r="D285" s="8"/>
      <c r="E285" s="8"/>
      <c r="F285" s="8"/>
      <c r="G285" s="8"/>
      <c r="H285" s="8"/>
      <c r="I285" s="8"/>
      <c r="J285" s="8"/>
      <c r="K285" s="8"/>
      <c r="L285" s="8"/>
      <c r="M285" s="8"/>
      <c r="N285" s="8"/>
    </row>
    <row r="286" spans="1:14" ht="12.75">
      <c r="A286" s="8"/>
      <c r="B286" s="8"/>
      <c r="C286" s="8"/>
      <c r="D286" s="8"/>
      <c r="E286" s="8"/>
      <c r="F286" s="8"/>
      <c r="G286" s="8"/>
      <c r="H286" s="8"/>
      <c r="I286" s="8"/>
      <c r="J286" s="8"/>
      <c r="K286" s="8"/>
      <c r="L286" s="8"/>
      <c r="M286" s="8"/>
      <c r="N286" s="8"/>
    </row>
    <row r="287" spans="1:14" ht="12.75">
      <c r="A287" s="8"/>
      <c r="B287" s="8"/>
      <c r="C287" s="8"/>
      <c r="D287" s="8"/>
      <c r="E287" s="8"/>
      <c r="F287" s="8"/>
      <c r="G287" s="8"/>
      <c r="H287" s="8"/>
      <c r="I287" s="8"/>
      <c r="J287" s="8"/>
      <c r="K287" s="8"/>
      <c r="L287" s="8"/>
      <c r="M287" s="8"/>
      <c r="N287" s="8"/>
    </row>
    <row r="288" spans="1:14" ht="12.75">
      <c r="A288" s="8"/>
      <c r="B288" s="8"/>
      <c r="C288" s="8"/>
      <c r="D288" s="8"/>
      <c r="E288" s="8"/>
      <c r="F288" s="8"/>
      <c r="G288" s="8"/>
      <c r="H288" s="8"/>
      <c r="I288" s="8"/>
      <c r="J288" s="8"/>
      <c r="K288" s="8"/>
      <c r="L288" s="8"/>
      <c r="M288" s="8"/>
      <c r="N288" s="8"/>
    </row>
    <row r="289" spans="1:14" ht="12.75">
      <c r="A289" s="8"/>
      <c r="B289" s="8"/>
      <c r="C289" s="8"/>
      <c r="D289" s="8"/>
      <c r="E289" s="8"/>
      <c r="F289" s="8"/>
      <c r="G289" s="8"/>
      <c r="H289" s="8"/>
      <c r="I289" s="8"/>
      <c r="J289" s="8"/>
      <c r="K289" s="8"/>
      <c r="L289" s="8"/>
      <c r="M289" s="8"/>
      <c r="N289" s="8"/>
    </row>
    <row r="290" spans="1:14" ht="12.75">
      <c r="A290" s="8"/>
      <c r="B290" s="8"/>
      <c r="C290" s="8"/>
      <c r="D290" s="8"/>
      <c r="E290" s="8"/>
      <c r="F290" s="8"/>
      <c r="G290" s="8"/>
      <c r="H290" s="8"/>
      <c r="I290" s="8"/>
      <c r="J290" s="8"/>
      <c r="K290" s="8"/>
      <c r="L290" s="8"/>
      <c r="M290" s="8"/>
      <c r="N290" s="8"/>
    </row>
    <row r="291" spans="1:14" ht="12.75">
      <c r="A291" s="8"/>
      <c r="B291" s="8"/>
      <c r="C291" s="8"/>
      <c r="D291" s="8"/>
      <c r="E291" s="8"/>
      <c r="F291" s="8"/>
      <c r="G291" s="8"/>
      <c r="H291" s="8"/>
      <c r="I291" s="8"/>
      <c r="J291" s="8"/>
      <c r="K291" s="8"/>
      <c r="L291" s="8"/>
      <c r="M291" s="8"/>
      <c r="N291" s="8"/>
    </row>
    <row r="292" spans="1:14" ht="12.75">
      <c r="A292" s="8"/>
      <c r="B292" s="8"/>
      <c r="C292" s="8"/>
      <c r="D292" s="8"/>
      <c r="E292" s="8"/>
      <c r="F292" s="8"/>
      <c r="G292" s="8"/>
      <c r="H292" s="8"/>
      <c r="I292" s="8"/>
      <c r="J292" s="8"/>
      <c r="K292" s="8"/>
      <c r="L292" s="8"/>
      <c r="M292" s="8"/>
      <c r="N292" s="8"/>
    </row>
    <row r="293" spans="1:14" ht="12.75">
      <c r="A293" s="8"/>
      <c r="B293" s="8"/>
      <c r="C293" s="8"/>
      <c r="D293" s="8"/>
      <c r="E293" s="8"/>
      <c r="F293" s="8"/>
      <c r="G293" s="8"/>
      <c r="H293" s="8"/>
      <c r="I293" s="8"/>
      <c r="J293" s="8"/>
      <c r="K293" s="8"/>
      <c r="L293" s="8"/>
      <c r="M293" s="8"/>
      <c r="N293" s="8"/>
    </row>
    <row r="294" spans="1:14" ht="12.75">
      <c r="A294" s="8"/>
      <c r="B294" s="8"/>
      <c r="C294" s="8"/>
      <c r="D294" s="8"/>
      <c r="E294" s="8"/>
      <c r="F294" s="8"/>
      <c r="G294" s="8"/>
      <c r="H294" s="8"/>
      <c r="I294" s="8"/>
      <c r="J294" s="8"/>
      <c r="K294" s="8"/>
      <c r="L294" s="8"/>
      <c r="M294" s="8"/>
      <c r="N294" s="8"/>
    </row>
    <row r="295" spans="1:14" ht="12.75">
      <c r="A295" s="8"/>
      <c r="B295" s="8"/>
      <c r="C295" s="8"/>
      <c r="D295" s="8"/>
      <c r="E295" s="8"/>
      <c r="F295" s="8"/>
      <c r="G295" s="8"/>
      <c r="H295" s="8"/>
      <c r="I295" s="8"/>
      <c r="J295" s="8"/>
      <c r="K295" s="8"/>
      <c r="L295" s="8"/>
      <c r="M295" s="8"/>
      <c r="N295" s="8"/>
    </row>
    <row r="296" spans="1:14" ht="12.75">
      <c r="A296" s="8"/>
      <c r="B296" s="8"/>
      <c r="C296" s="8"/>
      <c r="D296" s="8"/>
      <c r="E296" s="8"/>
      <c r="F296" s="8"/>
      <c r="G296" s="8"/>
      <c r="H296" s="8"/>
      <c r="I296" s="8"/>
      <c r="J296" s="8"/>
      <c r="K296" s="8"/>
      <c r="L296" s="8"/>
      <c r="M296" s="8"/>
      <c r="N296" s="8"/>
    </row>
    <row r="297" spans="1:14" ht="12.75">
      <c r="A297" s="8"/>
      <c r="B297" s="8"/>
      <c r="C297" s="8"/>
      <c r="D297" s="8"/>
      <c r="E297" s="8"/>
      <c r="F297" s="8"/>
      <c r="G297" s="8"/>
      <c r="H297" s="8"/>
      <c r="I297" s="8"/>
      <c r="J297" s="8"/>
      <c r="K297" s="8"/>
      <c r="L297" s="8"/>
      <c r="M297" s="8"/>
      <c r="N297" s="8"/>
    </row>
    <row r="298" spans="1:14" ht="12.75">
      <c r="A298" s="8"/>
      <c r="B298" s="8"/>
      <c r="C298" s="8"/>
      <c r="D298" s="8"/>
      <c r="E298" s="8"/>
      <c r="F298" s="8"/>
      <c r="G298" s="8"/>
      <c r="H298" s="8"/>
      <c r="I298" s="8"/>
      <c r="J298" s="8"/>
      <c r="K298" s="8"/>
      <c r="L298" s="8"/>
      <c r="M298" s="8"/>
      <c r="N298" s="8"/>
    </row>
    <row r="299" spans="1:14" ht="12.75">
      <c r="A299" s="8"/>
      <c r="B299" s="8"/>
      <c r="C299" s="8"/>
      <c r="D299" s="8"/>
      <c r="E299" s="8"/>
      <c r="F299" s="8"/>
      <c r="G299" s="8"/>
      <c r="H299" s="8"/>
      <c r="I299" s="8"/>
      <c r="J299" s="8"/>
      <c r="K299" s="8"/>
      <c r="L299" s="8"/>
      <c r="M299" s="8"/>
      <c r="N299" s="8"/>
    </row>
    <row r="300" spans="1:14" ht="12.75">
      <c r="A300" s="8"/>
      <c r="B300" s="8"/>
      <c r="C300" s="8"/>
      <c r="D300" s="8"/>
      <c r="E300" s="8"/>
      <c r="F300" s="8"/>
      <c r="G300" s="8"/>
      <c r="H300" s="8"/>
      <c r="I300" s="8"/>
      <c r="J300" s="8"/>
      <c r="K300" s="8"/>
      <c r="L300" s="8"/>
      <c r="M300" s="8"/>
      <c r="N300" s="8"/>
    </row>
    <row r="301" spans="1:14" ht="12.75">
      <c r="A301" s="8"/>
      <c r="B301" s="8"/>
      <c r="C301" s="8"/>
      <c r="D301" s="8"/>
      <c r="E301" s="8"/>
      <c r="F301" s="8"/>
      <c r="G301" s="8"/>
      <c r="H301" s="8"/>
      <c r="I301" s="8"/>
      <c r="J301" s="8"/>
      <c r="K301" s="8"/>
      <c r="L301" s="8"/>
      <c r="M301" s="8"/>
      <c r="N301" s="8"/>
    </row>
    <row r="302" spans="1:14" ht="12.75">
      <c r="A302" s="8"/>
      <c r="B302" s="8"/>
      <c r="C302" s="8"/>
      <c r="D302" s="8"/>
      <c r="E302" s="8"/>
      <c r="F302" s="8"/>
      <c r="G302" s="8"/>
      <c r="H302" s="8"/>
      <c r="I302" s="8"/>
      <c r="J302" s="8"/>
      <c r="K302" s="8"/>
      <c r="L302" s="8"/>
      <c r="M302" s="8"/>
      <c r="N302" s="8"/>
    </row>
    <row r="303" spans="1:14" ht="12.75">
      <c r="A303" s="8"/>
      <c r="B303" s="8"/>
      <c r="C303" s="8"/>
      <c r="D303" s="8"/>
      <c r="E303" s="8"/>
      <c r="F303" s="8"/>
      <c r="G303" s="8"/>
      <c r="H303" s="8"/>
      <c r="I303" s="8"/>
      <c r="J303" s="8"/>
      <c r="K303" s="8"/>
      <c r="L303" s="8"/>
      <c r="M303" s="8"/>
      <c r="N303" s="8"/>
    </row>
    <row r="304" spans="1:14" ht="12.75">
      <c r="A304" s="8"/>
      <c r="B304" s="8"/>
      <c r="C304" s="8"/>
      <c r="D304" s="8"/>
      <c r="E304" s="8"/>
      <c r="F304" s="8"/>
      <c r="G304" s="8"/>
      <c r="H304" s="8"/>
      <c r="I304" s="8"/>
      <c r="J304" s="8"/>
      <c r="K304" s="8"/>
      <c r="L304" s="8"/>
      <c r="M304" s="8"/>
      <c r="N304" s="8"/>
    </row>
    <row r="305" spans="1:14" ht="12.75">
      <c r="A305" s="8"/>
      <c r="B305" s="8"/>
      <c r="C305" s="8"/>
      <c r="D305" s="8"/>
      <c r="E305" s="8"/>
      <c r="F305" s="8"/>
      <c r="G305" s="8"/>
      <c r="H305" s="8"/>
      <c r="I305" s="8"/>
      <c r="J305" s="8"/>
      <c r="K305" s="8"/>
      <c r="L305" s="8"/>
      <c r="M305" s="8"/>
      <c r="N305" s="8"/>
    </row>
    <row r="306" spans="1:14" ht="12.75">
      <c r="A306" s="8"/>
      <c r="B306" s="8"/>
      <c r="C306" s="8"/>
      <c r="D306" s="8"/>
      <c r="E306" s="8"/>
      <c r="F306" s="8"/>
      <c r="G306" s="8"/>
      <c r="H306" s="8"/>
      <c r="I306" s="8"/>
      <c r="J306" s="8"/>
      <c r="K306" s="8"/>
      <c r="L306" s="8"/>
      <c r="M306" s="8"/>
      <c r="N306" s="8"/>
    </row>
    <row r="307" spans="1:14" ht="12.75">
      <c r="A307" s="8"/>
      <c r="B307" s="8"/>
      <c r="C307" s="8"/>
      <c r="D307" s="8"/>
      <c r="E307" s="8"/>
      <c r="F307" s="8"/>
      <c r="G307" s="8"/>
      <c r="H307" s="8"/>
      <c r="I307" s="8"/>
      <c r="J307" s="8"/>
      <c r="K307" s="8"/>
      <c r="L307" s="8"/>
      <c r="M307" s="8"/>
      <c r="N307" s="8"/>
    </row>
    <row r="308" spans="1:14" ht="12.75">
      <c r="A308" s="8"/>
      <c r="B308" s="8"/>
      <c r="C308" s="8"/>
      <c r="D308" s="8"/>
      <c r="E308" s="8"/>
      <c r="F308" s="8"/>
      <c r="G308" s="8"/>
      <c r="H308" s="8"/>
      <c r="I308" s="8"/>
      <c r="J308" s="8"/>
      <c r="K308" s="8"/>
      <c r="L308" s="8"/>
      <c r="M308" s="8"/>
      <c r="N308" s="8"/>
    </row>
    <row r="309" spans="1:14" ht="12.75">
      <c r="A309" s="8"/>
      <c r="B309" s="8"/>
      <c r="C309" s="8"/>
      <c r="D309" s="8"/>
      <c r="E309" s="8"/>
      <c r="F309" s="8"/>
      <c r="G309" s="8"/>
      <c r="H309" s="8"/>
      <c r="I309" s="8"/>
      <c r="J309" s="8"/>
      <c r="K309" s="8"/>
      <c r="L309" s="8"/>
      <c r="M309" s="8"/>
      <c r="N309" s="8"/>
    </row>
    <row r="310" spans="1:14" ht="12.75">
      <c r="A310" s="8"/>
      <c r="B310" s="8"/>
      <c r="C310" s="8"/>
      <c r="D310" s="8"/>
      <c r="E310" s="8"/>
      <c r="F310" s="8"/>
      <c r="G310" s="8"/>
      <c r="H310" s="8"/>
      <c r="I310" s="8"/>
      <c r="J310" s="8"/>
      <c r="K310" s="8"/>
      <c r="L310" s="8"/>
      <c r="M310" s="8"/>
      <c r="N310" s="8"/>
    </row>
    <row r="311" spans="1:14" ht="12.75">
      <c r="A311" s="8"/>
      <c r="B311" s="8"/>
      <c r="C311" s="8"/>
      <c r="D311" s="8"/>
      <c r="E311" s="8"/>
      <c r="F311" s="8"/>
      <c r="G311" s="8"/>
      <c r="H311" s="8"/>
      <c r="I311" s="8"/>
      <c r="J311" s="8"/>
      <c r="K311" s="8"/>
      <c r="L311" s="8"/>
      <c r="M311" s="8"/>
      <c r="N311" s="8"/>
    </row>
    <row r="312" spans="1:14" ht="12.75">
      <c r="A312" s="8"/>
      <c r="B312" s="8"/>
      <c r="C312" s="8"/>
      <c r="D312" s="8"/>
      <c r="E312" s="8"/>
      <c r="F312" s="8"/>
      <c r="G312" s="8"/>
      <c r="H312" s="8"/>
      <c r="I312" s="8"/>
      <c r="J312" s="8"/>
      <c r="K312" s="8"/>
      <c r="L312" s="8"/>
      <c r="M312" s="8"/>
      <c r="N312" s="8"/>
    </row>
    <row r="313" spans="1:14" ht="12.75">
      <c r="A313" s="8"/>
      <c r="B313" s="8"/>
      <c r="C313" s="8"/>
      <c r="D313" s="8"/>
      <c r="E313" s="8"/>
      <c r="F313" s="8"/>
      <c r="G313" s="8"/>
      <c r="H313" s="8"/>
      <c r="I313" s="8"/>
      <c r="J313" s="8"/>
      <c r="K313" s="8"/>
      <c r="L313" s="8"/>
      <c r="M313" s="8"/>
      <c r="N313" s="8"/>
    </row>
    <row r="314" spans="1:14" ht="12.75">
      <c r="A314" s="8"/>
      <c r="B314" s="8"/>
      <c r="C314" s="8"/>
      <c r="D314" s="8"/>
      <c r="E314" s="8"/>
      <c r="F314" s="8"/>
      <c r="G314" s="8"/>
      <c r="H314" s="8"/>
      <c r="I314" s="8"/>
      <c r="J314" s="8"/>
      <c r="K314" s="8"/>
      <c r="L314" s="8"/>
      <c r="M314" s="8"/>
      <c r="N314" s="8"/>
    </row>
    <row r="315" spans="1:14" ht="12.75">
      <c r="A315" s="8"/>
      <c r="B315" s="8"/>
      <c r="C315" s="8"/>
      <c r="D315" s="8"/>
      <c r="E315" s="8"/>
      <c r="F315" s="8"/>
      <c r="G315" s="8"/>
      <c r="H315" s="8"/>
      <c r="I315" s="8"/>
      <c r="J315" s="8"/>
      <c r="K315" s="8"/>
      <c r="L315" s="8"/>
      <c r="M315" s="8"/>
      <c r="N315" s="8"/>
    </row>
    <row r="316" spans="1:14" ht="12.75">
      <c r="A316" s="8"/>
      <c r="B316" s="8"/>
      <c r="C316" s="8"/>
      <c r="D316" s="8"/>
      <c r="E316" s="8"/>
      <c r="F316" s="8"/>
      <c r="G316" s="8"/>
      <c r="H316" s="8"/>
      <c r="I316" s="8"/>
      <c r="J316" s="8"/>
      <c r="K316" s="8"/>
      <c r="L316" s="8"/>
      <c r="M316" s="8"/>
      <c r="N316" s="8"/>
    </row>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2:AZ88"/>
  <sheetViews>
    <sheetView zoomScalePageLayoutView="0" workbookViewId="0" topLeftCell="A1">
      <pane xSplit="5" ySplit="12" topLeftCell="F13" activePane="bottomRight" state="frozen"/>
      <selection pane="topLeft" activeCell="A1" sqref="A1"/>
      <selection pane="topRight" activeCell="F1" sqref="F1"/>
      <selection pane="bottomLeft" activeCell="A13" sqref="A13"/>
      <selection pane="bottomRight" activeCell="D2" sqref="D2"/>
    </sheetView>
  </sheetViews>
  <sheetFormatPr defaultColWidth="9.140625" defaultRowHeight="12.75" outlineLevelRow="1"/>
  <cols>
    <col min="1" max="1" width="13.8515625" style="8" customWidth="1"/>
    <col min="2" max="2" width="12.57421875" style="8" customWidth="1"/>
    <col min="3" max="3" width="10.57421875" style="8" customWidth="1"/>
    <col min="4" max="4" width="12.140625" style="8" customWidth="1"/>
    <col min="5" max="5" width="3.28125" style="8" customWidth="1"/>
    <col min="6" max="15" width="10.7109375" style="8" customWidth="1"/>
    <col min="16" max="22" width="10.28125" style="8" customWidth="1"/>
    <col min="23" max="16384" width="9.140625" style="8" customWidth="1"/>
  </cols>
  <sheetData>
    <row r="1" ht="12"/>
    <row r="2" spans="1:3" ht="15">
      <c r="A2" s="92" t="s">
        <v>218</v>
      </c>
      <c r="B2" s="92"/>
      <c r="C2" s="92"/>
    </row>
    <row r="3" spans="1:3" ht="12.75" customHeight="1">
      <c r="A3" s="140"/>
      <c r="B3" s="140"/>
      <c r="C3" s="140"/>
    </row>
    <row r="4" spans="1:16" ht="12.75" customHeight="1">
      <c r="A4" s="164" t="s">
        <v>241</v>
      </c>
      <c r="B4" s="140"/>
      <c r="C4" s="140"/>
      <c r="F4" s="32" t="str">
        <f>Bal_Sheet!A24</f>
        <v>Gross PP&amp;E</v>
      </c>
      <c r="G4" s="33"/>
      <c r="H4" s="146">
        <f>Bal_Sheet!C24</f>
        <v>500000</v>
      </c>
      <c r="J4" s="345" t="s">
        <v>219</v>
      </c>
      <c r="K4" s="346"/>
      <c r="L4" s="347"/>
      <c r="N4" s="345" t="s">
        <v>302</v>
      </c>
      <c r="O4" s="346"/>
      <c r="P4" s="347"/>
    </row>
    <row r="5" spans="1:16" ht="12.75" customHeight="1">
      <c r="A5" s="140"/>
      <c r="B5" s="140"/>
      <c r="C5" s="140"/>
      <c r="F5" s="32" t="s">
        <v>229</v>
      </c>
      <c r="G5" s="33"/>
      <c r="H5" s="146">
        <f>Input!C49</f>
        <v>2450</v>
      </c>
      <c r="J5" s="165">
        <v>0</v>
      </c>
      <c r="K5" s="41" t="s">
        <v>230</v>
      </c>
      <c r="L5" s="42"/>
      <c r="N5" s="348" t="s">
        <v>298</v>
      </c>
      <c r="O5" s="349"/>
      <c r="P5" s="350"/>
    </row>
    <row r="6" spans="1:16" ht="12.75" customHeight="1">
      <c r="A6" s="140"/>
      <c r="B6" s="140"/>
      <c r="C6" s="140"/>
      <c r="F6" s="32" t="s">
        <v>276</v>
      </c>
      <c r="G6" s="33"/>
      <c r="H6" s="146">
        <f>SUM(H4:H5)</f>
        <v>502450</v>
      </c>
      <c r="N6" s="165">
        <v>1</v>
      </c>
      <c r="O6" s="351" t="str">
        <f>IF(N6=1,"Tax Deductible","Not Deductible")</f>
        <v>Tax Deductible</v>
      </c>
      <c r="P6" s="352"/>
    </row>
    <row r="7" spans="1:12" ht="12.75" customHeight="1">
      <c r="A7" s="140"/>
      <c r="B7" s="140"/>
      <c r="C7" s="140"/>
      <c r="F7" s="32" t="s">
        <v>30</v>
      </c>
      <c r="G7" s="33"/>
      <c r="H7" s="150">
        <f>Bal_Sheet!C27</f>
        <v>25000</v>
      </c>
      <c r="J7" s="345" t="s">
        <v>228</v>
      </c>
      <c r="K7" s="346"/>
      <c r="L7" s="347"/>
    </row>
    <row r="8" spans="1:12" ht="12.75" customHeight="1">
      <c r="A8" s="140"/>
      <c r="B8" s="140"/>
      <c r="C8" s="140"/>
      <c r="F8" s="32" t="s">
        <v>7</v>
      </c>
      <c r="G8" s="33"/>
      <c r="H8" s="146">
        <f>H6-H7</f>
        <v>477450</v>
      </c>
      <c r="J8" s="165">
        <v>1</v>
      </c>
      <c r="K8" s="41" t="s">
        <v>231</v>
      </c>
      <c r="L8" s="42"/>
    </row>
    <row r="9" spans="1:12" ht="12.75" customHeight="1">
      <c r="A9" s="140"/>
      <c r="B9" s="140"/>
      <c r="C9" s="140"/>
      <c r="H9" s="26"/>
      <c r="J9" s="149"/>
      <c r="K9" s="25"/>
      <c r="L9" s="25"/>
    </row>
    <row r="10" spans="10:12" ht="12.75" customHeight="1">
      <c r="J10" s="131"/>
      <c r="K10" s="131"/>
      <c r="L10" s="131"/>
    </row>
    <row r="11" spans="1:15" ht="12">
      <c r="A11" s="8" t="s">
        <v>14</v>
      </c>
      <c r="E11" s="141"/>
      <c r="F11" s="142">
        <f>year1</f>
        <v>2010</v>
      </c>
      <c r="G11" s="143">
        <f>F11+1</f>
        <v>2011</v>
      </c>
      <c r="H11" s="143">
        <f aca="true" t="shared" si="0" ref="H11:O12">G11+1</f>
        <v>2012</v>
      </c>
      <c r="I11" s="143">
        <f t="shared" si="0"/>
        <v>2013</v>
      </c>
      <c r="J11" s="143">
        <f t="shared" si="0"/>
        <v>2014</v>
      </c>
      <c r="K11" s="143">
        <f t="shared" si="0"/>
        <v>2015</v>
      </c>
      <c r="L11" s="143">
        <f t="shared" si="0"/>
        <v>2016</v>
      </c>
      <c r="M11" s="143">
        <f t="shared" si="0"/>
        <v>2017</v>
      </c>
      <c r="N11" s="143">
        <f t="shared" si="0"/>
        <v>2018</v>
      </c>
      <c r="O11" s="143">
        <f t="shared" si="0"/>
        <v>2019</v>
      </c>
    </row>
    <row r="12" spans="1:52" ht="12">
      <c r="A12" s="8" t="s">
        <v>70</v>
      </c>
      <c r="E12" s="141"/>
      <c r="F12" s="144">
        <v>1</v>
      </c>
      <c r="G12" s="145">
        <f>F12+1</f>
        <v>2</v>
      </c>
      <c r="H12" s="145">
        <f t="shared" si="0"/>
        <v>3</v>
      </c>
      <c r="I12" s="145">
        <f t="shared" si="0"/>
        <v>4</v>
      </c>
      <c r="J12" s="145">
        <f t="shared" si="0"/>
        <v>5</v>
      </c>
      <c r="K12" s="145">
        <f t="shared" si="0"/>
        <v>6</v>
      </c>
      <c r="L12" s="145">
        <f t="shared" si="0"/>
        <v>7</v>
      </c>
      <c r="M12" s="145">
        <f t="shared" si="0"/>
        <v>8</v>
      </c>
      <c r="N12" s="145">
        <f t="shared" si="0"/>
        <v>9</v>
      </c>
      <c r="O12" s="145">
        <f t="shared" si="0"/>
        <v>10</v>
      </c>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row>
    <row r="13" spans="6:52" ht="12">
      <c r="F13" s="57"/>
      <c r="G13" s="57"/>
      <c r="H13" s="57"/>
      <c r="I13" s="57"/>
      <c r="J13" s="57"/>
      <c r="K13" s="57"/>
      <c r="L13" s="57"/>
      <c r="M13" s="57"/>
      <c r="N13" s="57"/>
      <c r="O13" s="57"/>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row>
    <row r="14" spans="1:52" ht="12">
      <c r="A14" s="50" t="s">
        <v>232</v>
      </c>
      <c r="B14" s="50"/>
      <c r="C14" s="50"/>
      <c r="F14" s="3"/>
      <c r="G14" s="3"/>
      <c r="H14" s="3"/>
      <c r="I14" s="3"/>
      <c r="J14" s="3"/>
      <c r="K14" s="3"/>
      <c r="L14" s="3"/>
      <c r="M14" s="3"/>
      <c r="N14" s="3"/>
      <c r="O14" s="3"/>
      <c r="P14" s="3"/>
      <c r="Q14" s="3"/>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row>
    <row r="15" spans="1:52" ht="12">
      <c r="A15" s="134"/>
      <c r="B15" s="156" t="s">
        <v>221</v>
      </c>
      <c r="C15" s="157" t="s">
        <v>227</v>
      </c>
      <c r="D15" s="156" t="s">
        <v>222</v>
      </c>
      <c r="F15" s="3"/>
      <c r="G15" s="3"/>
      <c r="H15" s="3"/>
      <c r="I15" s="3"/>
      <c r="J15" s="3"/>
      <c r="K15" s="3"/>
      <c r="L15" s="3"/>
      <c r="M15" s="3"/>
      <c r="N15" s="3"/>
      <c r="O15" s="3"/>
      <c r="P15" s="3"/>
      <c r="Q15" s="3"/>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row>
    <row r="16" spans="1:17" ht="12">
      <c r="A16" s="134" t="s">
        <v>220</v>
      </c>
      <c r="B16" s="154">
        <v>90000</v>
      </c>
      <c r="C16" s="155">
        <v>12</v>
      </c>
      <c r="D16" s="154">
        <v>900</v>
      </c>
      <c r="E16" s="4"/>
      <c r="F16" s="4">
        <f>IF(F$12&gt;$C16,0,IF($J$5=1,SYD($B16,$D16,$C16,F$12),SLN($B16,$D16,$C16)))</f>
        <v>7425</v>
      </c>
      <c r="G16" s="4">
        <f aca="true" t="shared" si="1" ref="G16:O16">IF(G$12&gt;$C16,0,IF($J$5=1,SYD($B16,$D16,$C16,G$12),SLN($B16,$D16,$C16)))</f>
        <v>7425</v>
      </c>
      <c r="H16" s="4">
        <f t="shared" si="1"/>
        <v>7425</v>
      </c>
      <c r="I16" s="4">
        <f t="shared" si="1"/>
        <v>7425</v>
      </c>
      <c r="J16" s="4">
        <f t="shared" si="1"/>
        <v>7425</v>
      </c>
      <c r="K16" s="4">
        <f t="shared" si="1"/>
        <v>7425</v>
      </c>
      <c r="L16" s="4">
        <f t="shared" si="1"/>
        <v>7425</v>
      </c>
      <c r="M16" s="4">
        <f t="shared" si="1"/>
        <v>7425</v>
      </c>
      <c r="N16" s="4">
        <f t="shared" si="1"/>
        <v>7425</v>
      </c>
      <c r="O16" s="4">
        <f t="shared" si="1"/>
        <v>7425</v>
      </c>
      <c r="P16" s="4"/>
      <c r="Q16" s="4"/>
    </row>
    <row r="17" spans="1:17" ht="12">
      <c r="A17" s="134" t="s">
        <v>223</v>
      </c>
      <c r="B17" s="155">
        <v>85000</v>
      </c>
      <c r="C17" s="155">
        <v>10</v>
      </c>
      <c r="D17" s="155">
        <v>800</v>
      </c>
      <c r="E17" s="4"/>
      <c r="F17" s="4">
        <f aca="true" t="shared" si="2" ref="F17:O19">IF(F$12&gt;$C17,0,IF($J$5=1,SYD($B17,$D17,$C17,F$12),SLN($B17,$D17,$C17)))</f>
        <v>8420</v>
      </c>
      <c r="G17" s="4">
        <f t="shared" si="2"/>
        <v>8420</v>
      </c>
      <c r="H17" s="4">
        <f t="shared" si="2"/>
        <v>8420</v>
      </c>
      <c r="I17" s="4">
        <f t="shared" si="2"/>
        <v>8420</v>
      </c>
      <c r="J17" s="4">
        <f t="shared" si="2"/>
        <v>8420</v>
      </c>
      <c r="K17" s="4">
        <f t="shared" si="2"/>
        <v>8420</v>
      </c>
      <c r="L17" s="4">
        <f t="shared" si="2"/>
        <v>8420</v>
      </c>
      <c r="M17" s="4">
        <f t="shared" si="2"/>
        <v>8420</v>
      </c>
      <c r="N17" s="4">
        <f t="shared" si="2"/>
        <v>8420</v>
      </c>
      <c r="O17" s="4">
        <f t="shared" si="2"/>
        <v>8420</v>
      </c>
      <c r="P17" s="4"/>
      <c r="Q17" s="4"/>
    </row>
    <row r="18" spans="1:17" ht="12">
      <c r="A18" s="134" t="s">
        <v>224</v>
      </c>
      <c r="B18" s="155">
        <v>60000</v>
      </c>
      <c r="C18" s="155">
        <v>8</v>
      </c>
      <c r="D18" s="155">
        <v>600</v>
      </c>
      <c r="E18" s="4"/>
      <c r="F18" s="4">
        <f t="shared" si="2"/>
        <v>7425</v>
      </c>
      <c r="G18" s="4">
        <f t="shared" si="2"/>
        <v>7425</v>
      </c>
      <c r="H18" s="4">
        <f t="shared" si="2"/>
        <v>7425</v>
      </c>
      <c r="I18" s="4">
        <f t="shared" si="2"/>
        <v>7425</v>
      </c>
      <c r="J18" s="4">
        <f t="shared" si="2"/>
        <v>7425</v>
      </c>
      <c r="K18" s="4">
        <f t="shared" si="2"/>
        <v>7425</v>
      </c>
      <c r="L18" s="4">
        <f t="shared" si="2"/>
        <v>7425</v>
      </c>
      <c r="M18" s="4">
        <f t="shared" si="2"/>
        <v>7425</v>
      </c>
      <c r="N18" s="4">
        <f t="shared" si="2"/>
        <v>0</v>
      </c>
      <c r="O18" s="4">
        <f t="shared" si="2"/>
        <v>0</v>
      </c>
      <c r="P18" s="4"/>
      <c r="Q18" s="4"/>
    </row>
    <row r="19" spans="1:17" ht="12">
      <c r="A19" s="134" t="s">
        <v>225</v>
      </c>
      <c r="B19" s="3">
        <f>H8-SUM(B16:B18)</f>
        <v>242450</v>
      </c>
      <c r="C19" s="155">
        <v>6</v>
      </c>
      <c r="D19" s="155">
        <v>600</v>
      </c>
      <c r="E19" s="4"/>
      <c r="F19" s="4">
        <f t="shared" si="2"/>
        <v>40308.333333333336</v>
      </c>
      <c r="G19" s="4">
        <f t="shared" si="2"/>
        <v>40308.333333333336</v>
      </c>
      <c r="H19" s="4">
        <f t="shared" si="2"/>
        <v>40308.333333333336</v>
      </c>
      <c r="I19" s="4">
        <f t="shared" si="2"/>
        <v>40308.333333333336</v>
      </c>
      <c r="J19" s="4">
        <f t="shared" si="2"/>
        <v>40308.333333333336</v>
      </c>
      <c r="K19" s="4">
        <f t="shared" si="2"/>
        <v>40308.333333333336</v>
      </c>
      <c r="L19" s="4">
        <f t="shared" si="2"/>
        <v>0</v>
      </c>
      <c r="M19" s="4">
        <f t="shared" si="2"/>
        <v>0</v>
      </c>
      <c r="N19" s="4">
        <f t="shared" si="2"/>
        <v>0</v>
      </c>
      <c r="O19" s="4">
        <f t="shared" si="2"/>
        <v>0</v>
      </c>
      <c r="P19" s="4"/>
      <c r="Q19" s="4"/>
    </row>
    <row r="20" spans="1:17" ht="12">
      <c r="A20" s="134"/>
      <c r="B20" s="152">
        <f>SUM(B16:B19)</f>
        <v>477450</v>
      </c>
      <c r="C20" s="3"/>
      <c r="D20" s="152">
        <f>SUM(D16:D19)</f>
        <v>2900</v>
      </c>
      <c r="E20" s="3"/>
      <c r="F20" s="151">
        <f aca="true" t="shared" si="3" ref="F20:O20">SUM(F16:F19)</f>
        <v>63578.333333333336</v>
      </c>
      <c r="G20" s="151">
        <f t="shared" si="3"/>
        <v>63578.333333333336</v>
      </c>
      <c r="H20" s="151">
        <f t="shared" si="3"/>
        <v>63578.333333333336</v>
      </c>
      <c r="I20" s="151">
        <f t="shared" si="3"/>
        <v>63578.333333333336</v>
      </c>
      <c r="J20" s="151">
        <f t="shared" si="3"/>
        <v>63578.333333333336</v>
      </c>
      <c r="K20" s="151">
        <f t="shared" si="3"/>
        <v>63578.333333333336</v>
      </c>
      <c r="L20" s="151">
        <f t="shared" si="3"/>
        <v>23270</v>
      </c>
      <c r="M20" s="151">
        <f t="shared" si="3"/>
        <v>23270</v>
      </c>
      <c r="N20" s="151">
        <f t="shared" si="3"/>
        <v>15845</v>
      </c>
      <c r="O20" s="151">
        <f t="shared" si="3"/>
        <v>15845</v>
      </c>
      <c r="P20" s="4"/>
      <c r="Q20" s="4"/>
    </row>
    <row r="21" spans="1:17" ht="12">
      <c r="A21" s="134"/>
      <c r="B21" s="147"/>
      <c r="C21" s="147"/>
      <c r="D21" s="4"/>
      <c r="E21" s="4"/>
      <c r="F21" s="4"/>
      <c r="G21" s="4"/>
      <c r="H21" s="4"/>
      <c r="I21" s="4"/>
      <c r="J21" s="4"/>
      <c r="K21" s="4"/>
      <c r="L21" s="4"/>
      <c r="M21" s="4"/>
      <c r="N21" s="4"/>
      <c r="O21" s="4"/>
      <c r="P21" s="4"/>
      <c r="Q21" s="4"/>
    </row>
    <row r="22" spans="1:17" ht="12">
      <c r="A22" s="153" t="s">
        <v>187</v>
      </c>
      <c r="B22" s="147"/>
      <c r="C22" s="147"/>
      <c r="D22" s="4"/>
      <c r="E22" s="4"/>
      <c r="F22" s="4"/>
      <c r="G22" s="4"/>
      <c r="H22" s="4"/>
      <c r="I22" s="4"/>
      <c r="J22" s="4"/>
      <c r="K22" s="4"/>
      <c r="L22" s="4"/>
      <c r="M22" s="4"/>
      <c r="N22" s="4"/>
      <c r="O22" s="4"/>
      <c r="P22" s="4"/>
      <c r="Q22" s="4"/>
    </row>
    <row r="23" spans="1:17" ht="12">
      <c r="A23" s="156" t="s">
        <v>14</v>
      </c>
      <c r="B23" s="158" t="s">
        <v>187</v>
      </c>
      <c r="C23" s="158" t="s">
        <v>226</v>
      </c>
      <c r="D23" s="158" t="s">
        <v>222</v>
      </c>
      <c r="E23" s="4"/>
      <c r="F23" s="4"/>
      <c r="G23" s="4"/>
      <c r="H23" s="4"/>
      <c r="I23" s="4"/>
      <c r="J23" s="4"/>
      <c r="K23" s="4"/>
      <c r="L23" s="4"/>
      <c r="M23" s="4"/>
      <c r="N23" s="4"/>
      <c r="O23" s="4"/>
      <c r="P23" s="4"/>
      <c r="Q23" s="4"/>
    </row>
    <row r="24" spans="1:17" ht="12">
      <c r="A24" s="56">
        <f>F12</f>
        <v>1</v>
      </c>
      <c r="B24" s="159">
        <f>IF(capex_interval="",0,IF(capex_start_year="",0,IF($A24&lt;capex_start_year,0,IF(MOD($A24-capex_start_year,capex_interval)=0,Inc_St!$D$8*capex,0))))</f>
        <v>110000</v>
      </c>
      <c r="C24" s="155">
        <v>12</v>
      </c>
      <c r="D24" s="154"/>
      <c r="E24" s="4"/>
      <c r="F24" s="4">
        <f aca="true" t="shared" si="4" ref="F24:O33">IF($A24&gt;F$12,0,IF(F$12&gt;$C24+$A24-1,0,IF($J$5=1,SYD($B24,$D24,$C24,F$12),SLN($B24,$D24,$C24))))</f>
        <v>9166.666666666666</v>
      </c>
      <c r="G24" s="4">
        <f t="shared" si="4"/>
        <v>9166.666666666666</v>
      </c>
      <c r="H24" s="4">
        <f t="shared" si="4"/>
        <v>9166.666666666666</v>
      </c>
      <c r="I24" s="4">
        <f t="shared" si="4"/>
        <v>9166.666666666666</v>
      </c>
      <c r="J24" s="4">
        <f t="shared" si="4"/>
        <v>9166.666666666666</v>
      </c>
      <c r="K24" s="4">
        <f t="shared" si="4"/>
        <v>9166.666666666666</v>
      </c>
      <c r="L24" s="4">
        <f t="shared" si="4"/>
        <v>9166.666666666666</v>
      </c>
      <c r="M24" s="4">
        <f t="shared" si="4"/>
        <v>9166.666666666666</v>
      </c>
      <c r="N24" s="4">
        <f t="shared" si="4"/>
        <v>9166.666666666666</v>
      </c>
      <c r="O24" s="4">
        <f t="shared" si="4"/>
        <v>9166.666666666666</v>
      </c>
      <c r="P24" s="4"/>
      <c r="Q24" s="4"/>
    </row>
    <row r="25" spans="1:17" ht="12">
      <c r="A25" s="56">
        <f>G12</f>
        <v>2</v>
      </c>
      <c r="B25" s="3">
        <f>IF(capex_interval="",0,IF(capex_start_year="",0,IF($A25&lt;capex_start_year,0,IF(MOD($A25-capex_start_year,capex_interval)=0,Inc_St!$E$8*capex,0))))</f>
        <v>121000</v>
      </c>
      <c r="C25" s="155">
        <v>10</v>
      </c>
      <c r="D25" s="155"/>
      <c r="E25" s="4"/>
      <c r="F25" s="4">
        <f t="shared" si="4"/>
        <v>0</v>
      </c>
      <c r="G25" s="4">
        <f t="shared" si="4"/>
        <v>12100</v>
      </c>
      <c r="H25" s="4">
        <f t="shared" si="4"/>
        <v>12100</v>
      </c>
      <c r="I25" s="4">
        <f t="shared" si="4"/>
        <v>12100</v>
      </c>
      <c r="J25" s="4">
        <f t="shared" si="4"/>
        <v>12100</v>
      </c>
      <c r="K25" s="4">
        <f t="shared" si="4"/>
        <v>12100</v>
      </c>
      <c r="L25" s="4">
        <f t="shared" si="4"/>
        <v>12100</v>
      </c>
      <c r="M25" s="4">
        <f t="shared" si="4"/>
        <v>12100</v>
      </c>
      <c r="N25" s="4">
        <f t="shared" si="4"/>
        <v>12100</v>
      </c>
      <c r="O25" s="4">
        <f t="shared" si="4"/>
        <v>12100</v>
      </c>
      <c r="P25" s="4"/>
      <c r="Q25" s="4"/>
    </row>
    <row r="26" spans="1:17" ht="12">
      <c r="A26" s="56">
        <f>H12</f>
        <v>3</v>
      </c>
      <c r="B26" s="3">
        <f>IF(capex_interval="",0,IF(capex_start_year="",0,IF($A26&lt;capex_start_year,0,IF(MOD($A26-capex_start_year,capex_interval)=0,Inc_St!$F$8*capex,0))))</f>
        <v>133100</v>
      </c>
      <c r="C26" s="155">
        <v>15</v>
      </c>
      <c r="D26" s="155"/>
      <c r="E26" s="4"/>
      <c r="F26" s="4">
        <f t="shared" si="4"/>
        <v>0</v>
      </c>
      <c r="G26" s="4">
        <f t="shared" si="4"/>
        <v>0</v>
      </c>
      <c r="H26" s="4">
        <f t="shared" si="4"/>
        <v>8873.333333333334</v>
      </c>
      <c r="I26" s="4">
        <f t="shared" si="4"/>
        <v>8873.333333333334</v>
      </c>
      <c r="J26" s="4">
        <f t="shared" si="4"/>
        <v>8873.333333333334</v>
      </c>
      <c r="K26" s="4">
        <f t="shared" si="4"/>
        <v>8873.333333333334</v>
      </c>
      <c r="L26" s="4">
        <f t="shared" si="4"/>
        <v>8873.333333333334</v>
      </c>
      <c r="M26" s="4">
        <f t="shared" si="4"/>
        <v>8873.333333333334</v>
      </c>
      <c r="N26" s="4">
        <f t="shared" si="4"/>
        <v>8873.333333333334</v>
      </c>
      <c r="O26" s="4">
        <f t="shared" si="4"/>
        <v>8873.333333333334</v>
      </c>
      <c r="P26" s="4"/>
      <c r="Q26" s="4"/>
    </row>
    <row r="27" spans="1:17" ht="12">
      <c r="A27" s="56">
        <f>I12</f>
        <v>4</v>
      </c>
      <c r="B27" s="3">
        <f>IF(capex_interval="",0,IF(capex_start_year="",0,IF($A27&lt;capex_start_year,0,IF(MOD($A27-capex_start_year,capex_interval)=0,Inc_St!$G$8*capex,0))))</f>
        <v>146410.00000000003</v>
      </c>
      <c r="C27" s="155">
        <v>14</v>
      </c>
      <c r="D27" s="155"/>
      <c r="E27" s="4"/>
      <c r="F27" s="4">
        <f t="shared" si="4"/>
        <v>0</v>
      </c>
      <c r="G27" s="4">
        <f t="shared" si="4"/>
        <v>0</v>
      </c>
      <c r="H27" s="4">
        <f t="shared" si="4"/>
        <v>0</v>
      </c>
      <c r="I27" s="4">
        <f t="shared" si="4"/>
        <v>10457.857142857145</v>
      </c>
      <c r="J27" s="4">
        <f t="shared" si="4"/>
        <v>10457.857142857145</v>
      </c>
      <c r="K27" s="4">
        <f t="shared" si="4"/>
        <v>10457.857142857145</v>
      </c>
      <c r="L27" s="4">
        <f t="shared" si="4"/>
        <v>10457.857142857145</v>
      </c>
      <c r="M27" s="4">
        <f t="shared" si="4"/>
        <v>10457.857142857145</v>
      </c>
      <c r="N27" s="4">
        <f t="shared" si="4"/>
        <v>10457.857142857145</v>
      </c>
      <c r="O27" s="4">
        <f t="shared" si="4"/>
        <v>10457.857142857145</v>
      </c>
      <c r="P27" s="4"/>
      <c r="Q27" s="4"/>
    </row>
    <row r="28" spans="1:17" ht="12">
      <c r="A28" s="56">
        <f>J12</f>
        <v>5</v>
      </c>
      <c r="B28" s="3">
        <f>IF(capex_interval="",0,IF(capex_start_year="",0,IF($A28&lt;capex_start_year,0,IF(MOD($A28-capex_start_year,capex_interval)=0,Inc_St!$H$8*capex,0))))</f>
        <v>161051.00000000006</v>
      </c>
      <c r="C28" s="155">
        <v>12</v>
      </c>
      <c r="D28" s="155"/>
      <c r="E28" s="4"/>
      <c r="F28" s="4">
        <f t="shared" si="4"/>
        <v>0</v>
      </c>
      <c r="G28" s="4">
        <f t="shared" si="4"/>
        <v>0</v>
      </c>
      <c r="H28" s="4">
        <f t="shared" si="4"/>
        <v>0</v>
      </c>
      <c r="I28" s="4">
        <f t="shared" si="4"/>
        <v>0</v>
      </c>
      <c r="J28" s="4">
        <f t="shared" si="4"/>
        <v>13420.916666666672</v>
      </c>
      <c r="K28" s="4">
        <f t="shared" si="4"/>
        <v>13420.916666666672</v>
      </c>
      <c r="L28" s="4">
        <f t="shared" si="4"/>
        <v>13420.916666666672</v>
      </c>
      <c r="M28" s="4">
        <f t="shared" si="4"/>
        <v>13420.916666666672</v>
      </c>
      <c r="N28" s="4">
        <f t="shared" si="4"/>
        <v>13420.916666666672</v>
      </c>
      <c r="O28" s="4">
        <f t="shared" si="4"/>
        <v>13420.916666666672</v>
      </c>
      <c r="P28" s="4"/>
      <c r="Q28" s="4"/>
    </row>
    <row r="29" spans="1:17" ht="12">
      <c r="A29" s="56">
        <f>K12</f>
        <v>6</v>
      </c>
      <c r="B29" s="3">
        <f>IF(capex_interval="",0,IF(capex_start_year="",0,IF($A29&lt;capex_start_year,0,IF(MOD($A29-capex_start_year,capex_interval)=0,Inc_St!$I$8*capex,0))))</f>
        <v>177156.1000000001</v>
      </c>
      <c r="C29" s="155">
        <v>16</v>
      </c>
      <c r="D29" s="155"/>
      <c r="E29" s="4"/>
      <c r="F29" s="4">
        <f t="shared" si="4"/>
        <v>0</v>
      </c>
      <c r="G29" s="4">
        <f t="shared" si="4"/>
        <v>0</v>
      </c>
      <c r="H29" s="4">
        <f t="shared" si="4"/>
        <v>0</v>
      </c>
      <c r="I29" s="4">
        <f t="shared" si="4"/>
        <v>0</v>
      </c>
      <c r="J29" s="4">
        <f t="shared" si="4"/>
        <v>0</v>
      </c>
      <c r="K29" s="4">
        <f t="shared" si="4"/>
        <v>11072.256250000006</v>
      </c>
      <c r="L29" s="4">
        <f t="shared" si="4"/>
        <v>11072.256250000006</v>
      </c>
      <c r="M29" s="4">
        <f t="shared" si="4"/>
        <v>11072.256250000006</v>
      </c>
      <c r="N29" s="4">
        <f t="shared" si="4"/>
        <v>11072.256250000006</v>
      </c>
      <c r="O29" s="4">
        <f t="shared" si="4"/>
        <v>11072.256250000006</v>
      </c>
      <c r="P29" s="4"/>
      <c r="Q29" s="4"/>
    </row>
    <row r="30" spans="1:17" ht="12">
      <c r="A30" s="56">
        <f>L12</f>
        <v>7</v>
      </c>
      <c r="B30" s="3">
        <f>IF(capex_interval="",0,IF(capex_start_year="",0,IF($A30&lt;capex_start_year,0,IF(MOD($A30-capex_start_year,capex_interval)=0,Inc_St!$J$8*capex,0))))</f>
        <v>194871.7100000001</v>
      </c>
      <c r="C30" s="155">
        <v>15</v>
      </c>
      <c r="D30" s="155"/>
      <c r="E30" s="4"/>
      <c r="F30" s="4">
        <f t="shared" si="4"/>
        <v>0</v>
      </c>
      <c r="G30" s="4">
        <f t="shared" si="4"/>
        <v>0</v>
      </c>
      <c r="H30" s="4">
        <f t="shared" si="4"/>
        <v>0</v>
      </c>
      <c r="I30" s="4">
        <f t="shared" si="4"/>
        <v>0</v>
      </c>
      <c r="J30" s="4">
        <f t="shared" si="4"/>
        <v>0</v>
      </c>
      <c r="K30" s="4">
        <f t="shared" si="4"/>
        <v>0</v>
      </c>
      <c r="L30" s="4">
        <f t="shared" si="4"/>
        <v>12991.44733333334</v>
      </c>
      <c r="M30" s="4">
        <f t="shared" si="4"/>
        <v>12991.44733333334</v>
      </c>
      <c r="N30" s="4">
        <f t="shared" si="4"/>
        <v>12991.44733333334</v>
      </c>
      <c r="O30" s="4">
        <f t="shared" si="4"/>
        <v>12991.44733333334</v>
      </c>
      <c r="P30" s="4"/>
      <c r="Q30" s="4"/>
    </row>
    <row r="31" spans="1:17" ht="12">
      <c r="A31" s="56">
        <f>M12</f>
        <v>8</v>
      </c>
      <c r="B31" s="3">
        <f>IF(capex_interval="",0,IF(capex_start_year="",0,IF($A31&lt;capex_start_year,0,IF(MOD($A31-capex_start_year,capex_interval)=0,Inc_St!$K$8*capex,0))))</f>
        <v>214358.88100000017</v>
      </c>
      <c r="C31" s="155">
        <v>15</v>
      </c>
      <c r="D31" s="155"/>
      <c r="E31" s="4"/>
      <c r="F31" s="4">
        <f t="shared" si="4"/>
        <v>0</v>
      </c>
      <c r="G31" s="4">
        <f t="shared" si="4"/>
        <v>0</v>
      </c>
      <c r="H31" s="4">
        <f t="shared" si="4"/>
        <v>0</v>
      </c>
      <c r="I31" s="4">
        <f t="shared" si="4"/>
        <v>0</v>
      </c>
      <c r="J31" s="4">
        <f t="shared" si="4"/>
        <v>0</v>
      </c>
      <c r="K31" s="4">
        <f t="shared" si="4"/>
        <v>0</v>
      </c>
      <c r="L31" s="4">
        <f t="shared" si="4"/>
        <v>0</v>
      </c>
      <c r="M31" s="4">
        <f t="shared" si="4"/>
        <v>14290.592066666677</v>
      </c>
      <c r="N31" s="4">
        <f t="shared" si="4"/>
        <v>14290.592066666677</v>
      </c>
      <c r="O31" s="4">
        <f t="shared" si="4"/>
        <v>14290.592066666677</v>
      </c>
      <c r="P31" s="4"/>
      <c r="Q31" s="4"/>
    </row>
    <row r="32" spans="1:17" ht="12">
      <c r="A32" s="56">
        <f>N12</f>
        <v>9</v>
      </c>
      <c r="B32" s="3">
        <f>IF(capex_interval="",0,IF(capex_start_year="",0,IF($A32&lt;capex_start_year,0,IF(MOD($A32-capex_start_year,capex_interval)=0,Inc_St!$L$8*capex,0))))</f>
        <v>235794.7691000002</v>
      </c>
      <c r="C32" s="155">
        <v>12</v>
      </c>
      <c r="D32" s="155"/>
      <c r="E32" s="4"/>
      <c r="F32" s="4">
        <f t="shared" si="4"/>
        <v>0</v>
      </c>
      <c r="G32" s="4">
        <f t="shared" si="4"/>
        <v>0</v>
      </c>
      <c r="H32" s="4">
        <f t="shared" si="4"/>
        <v>0</v>
      </c>
      <c r="I32" s="4">
        <f t="shared" si="4"/>
        <v>0</v>
      </c>
      <c r="J32" s="4">
        <f t="shared" si="4"/>
        <v>0</v>
      </c>
      <c r="K32" s="4">
        <f t="shared" si="4"/>
        <v>0</v>
      </c>
      <c r="L32" s="4">
        <f t="shared" si="4"/>
        <v>0</v>
      </c>
      <c r="M32" s="4">
        <f t="shared" si="4"/>
        <v>0</v>
      </c>
      <c r="N32" s="4">
        <f t="shared" si="4"/>
        <v>19649.564091666685</v>
      </c>
      <c r="O32" s="4">
        <f t="shared" si="4"/>
        <v>19649.564091666685</v>
      </c>
      <c r="P32" s="4"/>
      <c r="Q32" s="4"/>
    </row>
    <row r="33" spans="1:17" ht="12">
      <c r="A33" s="56">
        <f>O12</f>
        <v>10</v>
      </c>
      <c r="B33" s="3">
        <f>IF(capex_interval="",0,IF(capex_start_year="",0,IF($A33&lt;capex_start_year,0,IF(MOD($A33-capex_start_year,capex_interval)=0,Inc_St!$M$8*capex,0))))</f>
        <v>259374.24601000026</v>
      </c>
      <c r="C33" s="155">
        <v>12</v>
      </c>
      <c r="D33" s="155"/>
      <c r="E33" s="4"/>
      <c r="F33" s="4">
        <f t="shared" si="4"/>
        <v>0</v>
      </c>
      <c r="G33" s="4">
        <f t="shared" si="4"/>
        <v>0</v>
      </c>
      <c r="H33" s="4">
        <f t="shared" si="4"/>
        <v>0</v>
      </c>
      <c r="I33" s="4">
        <f t="shared" si="4"/>
        <v>0</v>
      </c>
      <c r="J33" s="4">
        <f t="shared" si="4"/>
        <v>0</v>
      </c>
      <c r="K33" s="4">
        <f t="shared" si="4"/>
        <v>0</v>
      </c>
      <c r="L33" s="4">
        <f t="shared" si="4"/>
        <v>0</v>
      </c>
      <c r="M33" s="4">
        <f t="shared" si="4"/>
        <v>0</v>
      </c>
      <c r="N33" s="4">
        <f t="shared" si="4"/>
        <v>0</v>
      </c>
      <c r="O33" s="4">
        <f t="shared" si="4"/>
        <v>21614.520500833354</v>
      </c>
      <c r="P33" s="4"/>
      <c r="Q33" s="4"/>
    </row>
    <row r="34" spans="1:17" ht="12">
      <c r="A34" s="134"/>
      <c r="B34" s="152">
        <f>SUM(B24:B33)</f>
        <v>1753116.7061100008</v>
      </c>
      <c r="C34" s="147"/>
      <c r="D34" s="152">
        <f>SUM(D24:D33)</f>
        <v>0</v>
      </c>
      <c r="E34" s="4"/>
      <c r="F34" s="12">
        <f>SUM(F24:F33)</f>
        <v>9166.666666666666</v>
      </c>
      <c r="G34" s="12">
        <f aca="true" t="shared" si="5" ref="G34:O34">SUM(G24:G33)</f>
        <v>21266.666666666664</v>
      </c>
      <c r="H34" s="12">
        <f t="shared" si="5"/>
        <v>30140</v>
      </c>
      <c r="I34" s="12">
        <f t="shared" si="5"/>
        <v>40597.857142857145</v>
      </c>
      <c r="J34" s="12">
        <f t="shared" si="5"/>
        <v>54018.77380952382</v>
      </c>
      <c r="K34" s="12">
        <f t="shared" si="5"/>
        <v>65091.03005952382</v>
      </c>
      <c r="L34" s="12">
        <f t="shared" si="5"/>
        <v>78082.47739285717</v>
      </c>
      <c r="M34" s="12">
        <f t="shared" si="5"/>
        <v>92373.06945952385</v>
      </c>
      <c r="N34" s="12">
        <f t="shared" si="5"/>
        <v>112022.63355119053</v>
      </c>
      <c r="O34" s="12">
        <f t="shared" si="5"/>
        <v>133637.1540520239</v>
      </c>
      <c r="P34" s="4"/>
      <c r="Q34" s="4"/>
    </row>
    <row r="35" spans="1:17" ht="12">
      <c r="A35" s="134"/>
      <c r="B35" s="147"/>
      <c r="C35" s="147"/>
      <c r="D35" s="4"/>
      <c r="E35" s="4"/>
      <c r="F35" s="4"/>
      <c r="G35" s="4"/>
      <c r="H35" s="4"/>
      <c r="I35" s="4"/>
      <c r="J35" s="4"/>
      <c r="K35" s="4"/>
      <c r="L35" s="4"/>
      <c r="M35" s="4"/>
      <c r="N35" s="4"/>
      <c r="O35" s="4"/>
      <c r="P35" s="4"/>
      <c r="Q35" s="4"/>
    </row>
    <row r="36" spans="1:17" ht="12">
      <c r="A36" s="153" t="s">
        <v>236</v>
      </c>
      <c r="B36" s="147"/>
      <c r="C36" s="147"/>
      <c r="D36" s="4"/>
      <c r="E36" s="4"/>
      <c r="F36" s="4">
        <f>SUM(F20,F34)</f>
        <v>72745</v>
      </c>
      <c r="G36" s="4">
        <f aca="true" t="shared" si="6" ref="G36:O36">SUM(G20,G34)</f>
        <v>84845</v>
      </c>
      <c r="H36" s="4">
        <f t="shared" si="6"/>
        <v>93718.33333333334</v>
      </c>
      <c r="I36" s="4">
        <f t="shared" si="6"/>
        <v>104176.19047619047</v>
      </c>
      <c r="J36" s="4">
        <f t="shared" si="6"/>
        <v>117597.10714285716</v>
      </c>
      <c r="K36" s="4">
        <f t="shared" si="6"/>
        <v>128669.36339285717</v>
      </c>
      <c r="L36" s="4">
        <f t="shared" si="6"/>
        <v>101352.47739285717</v>
      </c>
      <c r="M36" s="4">
        <f t="shared" si="6"/>
        <v>115643.06945952385</v>
      </c>
      <c r="N36" s="4">
        <f t="shared" si="6"/>
        <v>127867.63355119053</v>
      </c>
      <c r="O36" s="4">
        <f t="shared" si="6"/>
        <v>149482.1540520239</v>
      </c>
      <c r="P36" s="4"/>
      <c r="Q36" s="4"/>
    </row>
    <row r="37" spans="1:17" ht="12">
      <c r="A37" s="153" t="s">
        <v>234</v>
      </c>
      <c r="B37" s="148"/>
      <c r="C37" s="148"/>
      <c r="D37" s="4"/>
      <c r="E37" s="4"/>
      <c r="F37" s="138">
        <v>40000</v>
      </c>
      <c r="G37" s="138">
        <v>40000</v>
      </c>
      <c r="H37" s="138">
        <v>40000</v>
      </c>
      <c r="I37" s="138">
        <v>40000</v>
      </c>
      <c r="J37" s="138">
        <v>40000</v>
      </c>
      <c r="K37" s="138">
        <v>40000</v>
      </c>
      <c r="L37" s="138">
        <v>40000</v>
      </c>
      <c r="M37" s="138">
        <v>40000</v>
      </c>
      <c r="N37" s="138">
        <v>40000</v>
      </c>
      <c r="O37" s="138">
        <v>40000</v>
      </c>
      <c r="P37" s="4"/>
      <c r="Q37" s="4"/>
    </row>
    <row r="38" spans="1:17" ht="12">
      <c r="A38" s="67"/>
      <c r="B38" s="148"/>
      <c r="C38" s="148"/>
      <c r="D38" s="4"/>
      <c r="E38" s="4"/>
      <c r="F38" s="4"/>
      <c r="G38" s="4"/>
      <c r="H38" s="4"/>
      <c r="I38" s="4"/>
      <c r="J38" s="4"/>
      <c r="K38" s="4"/>
      <c r="L38" s="4"/>
      <c r="M38" s="4"/>
      <c r="N38" s="4"/>
      <c r="O38" s="4"/>
      <c r="P38" s="4"/>
      <c r="Q38" s="4"/>
    </row>
    <row r="39" spans="1:17" ht="12">
      <c r="A39" s="153" t="s">
        <v>235</v>
      </c>
      <c r="B39" s="148"/>
      <c r="C39" s="148"/>
      <c r="D39" s="4"/>
      <c r="E39" s="4"/>
      <c r="F39" s="4">
        <f>IF($J$8=1,F36,F37)</f>
        <v>72745</v>
      </c>
      <c r="G39" s="4">
        <f aca="true" t="shared" si="7" ref="G39:O39">IF($J$8=1,G36,G37)</f>
        <v>84845</v>
      </c>
      <c r="H39" s="4">
        <f t="shared" si="7"/>
        <v>93718.33333333334</v>
      </c>
      <c r="I39" s="4">
        <f t="shared" si="7"/>
        <v>104176.19047619047</v>
      </c>
      <c r="J39" s="4">
        <f t="shared" si="7"/>
        <v>117597.10714285716</v>
      </c>
      <c r="K39" s="4">
        <f t="shared" si="7"/>
        <v>128669.36339285717</v>
      </c>
      <c r="L39" s="4">
        <f t="shared" si="7"/>
        <v>101352.47739285717</v>
      </c>
      <c r="M39" s="4">
        <f t="shared" si="7"/>
        <v>115643.06945952385</v>
      </c>
      <c r="N39" s="4">
        <f t="shared" si="7"/>
        <v>127867.63355119053</v>
      </c>
      <c r="O39" s="4">
        <f t="shared" si="7"/>
        <v>149482.1540520239</v>
      </c>
      <c r="P39" s="4"/>
      <c r="Q39" s="4"/>
    </row>
    <row r="40" spans="1:17" ht="12">
      <c r="A40" s="67"/>
      <c r="B40" s="148"/>
      <c r="C40" s="148"/>
      <c r="D40" s="4"/>
      <c r="E40" s="4"/>
      <c r="F40" s="4"/>
      <c r="G40" s="4"/>
      <c r="H40" s="4"/>
      <c r="I40" s="4"/>
      <c r="J40" s="4"/>
      <c r="K40" s="4"/>
      <c r="L40" s="4"/>
      <c r="M40" s="4"/>
      <c r="N40" s="4"/>
      <c r="O40" s="4"/>
      <c r="P40" s="4"/>
      <c r="Q40" s="4"/>
    </row>
    <row r="41" spans="1:17" ht="12">
      <c r="A41" s="134"/>
      <c r="B41" s="147"/>
      <c r="C41" s="147"/>
      <c r="D41" s="158" t="s">
        <v>239</v>
      </c>
      <c r="E41" s="4"/>
      <c r="F41" s="4"/>
      <c r="G41" s="4"/>
      <c r="H41" s="4"/>
      <c r="I41" s="4"/>
      <c r="J41" s="4"/>
      <c r="K41" s="4"/>
      <c r="L41" s="4"/>
      <c r="M41" s="4"/>
      <c r="N41" s="4"/>
      <c r="O41" s="4"/>
      <c r="P41" s="4"/>
      <c r="Q41" s="4"/>
    </row>
    <row r="42" spans="1:17" ht="12">
      <c r="A42" s="153" t="s">
        <v>237</v>
      </c>
      <c r="B42" s="147"/>
      <c r="C42" s="147"/>
      <c r="D42" s="155">
        <v>12</v>
      </c>
      <c r="E42" s="4"/>
      <c r="F42" s="4">
        <f>IF(F$12&gt;$D$42,0,Bal_Sheet!$E$20/$D$42)</f>
        <v>179.16666666666666</v>
      </c>
      <c r="G42" s="4">
        <f>IF(G$12&gt;$D$42,0,Bal_Sheet!$E$20/$D$42)</f>
        <v>179.16666666666666</v>
      </c>
      <c r="H42" s="4">
        <f>IF(H$12&gt;$D$42,0,Bal_Sheet!$E$20/$D$42)</f>
        <v>179.16666666666666</v>
      </c>
      <c r="I42" s="4">
        <f>IF(I$12&gt;$D$42,0,Bal_Sheet!$E$20/$D$42)</f>
        <v>179.16666666666666</v>
      </c>
      <c r="J42" s="4">
        <f>IF(J$12&gt;$D$42,0,Bal_Sheet!$E$20/$D$42)</f>
        <v>179.16666666666666</v>
      </c>
      <c r="K42" s="4">
        <f>IF(K$12&gt;$D$42,0,Bal_Sheet!$E$20/$D$42)</f>
        <v>179.16666666666666</v>
      </c>
      <c r="L42" s="4">
        <f>IF(L$12&gt;$D$42,0,Bal_Sheet!$E$20/$D$42)</f>
        <v>179.16666666666666</v>
      </c>
      <c r="M42" s="4">
        <f>IF(M$12&gt;$D$42,0,Bal_Sheet!$E$20/$D$42)</f>
        <v>179.16666666666666</v>
      </c>
      <c r="N42" s="4">
        <f>IF(N$12&gt;$D$42,0,Bal_Sheet!$E$20/$D$42)</f>
        <v>179.16666666666666</v>
      </c>
      <c r="O42" s="4">
        <f>IF(O$12&gt;$D$42,0,Bal_Sheet!$E$20/$D$42)</f>
        <v>179.16666666666666</v>
      </c>
      <c r="P42" s="4"/>
      <c r="Q42" s="4"/>
    </row>
    <row r="43" spans="1:17" ht="12">
      <c r="A43" s="153" t="s">
        <v>238</v>
      </c>
      <c r="B43" s="147"/>
      <c r="C43" s="147"/>
      <c r="D43" s="4"/>
      <c r="E43" s="4"/>
      <c r="F43" s="138">
        <v>0</v>
      </c>
      <c r="G43" s="138">
        <v>0</v>
      </c>
      <c r="H43" s="138">
        <v>0</v>
      </c>
      <c r="I43" s="138">
        <v>0</v>
      </c>
      <c r="J43" s="138">
        <v>0</v>
      </c>
      <c r="K43" s="138">
        <v>0</v>
      </c>
      <c r="L43" s="138">
        <v>0</v>
      </c>
      <c r="M43" s="138">
        <v>0</v>
      </c>
      <c r="N43" s="138">
        <v>0</v>
      </c>
      <c r="O43" s="138">
        <v>0</v>
      </c>
      <c r="P43" s="4"/>
      <c r="Q43" s="4"/>
    </row>
    <row r="44" spans="1:21" ht="12">
      <c r="A44" s="134"/>
      <c r="B44" s="147"/>
      <c r="C44" s="147"/>
      <c r="D44" s="158" t="s">
        <v>282</v>
      </c>
      <c r="E44" s="4"/>
      <c r="F44" s="4"/>
      <c r="G44" s="4"/>
      <c r="H44" s="4"/>
      <c r="I44" s="4"/>
      <c r="J44" s="4"/>
      <c r="K44" s="4"/>
      <c r="L44" s="4"/>
      <c r="M44" s="4"/>
      <c r="N44" s="4"/>
      <c r="O44" s="4"/>
      <c r="P44" s="4"/>
      <c r="Q44" s="4"/>
      <c r="R44" s="4"/>
      <c r="S44" s="4"/>
      <c r="T44" s="4"/>
      <c r="U44" s="4"/>
    </row>
    <row r="45" spans="1:17" ht="12">
      <c r="A45" s="153" t="s">
        <v>240</v>
      </c>
      <c r="B45" s="147"/>
      <c r="C45" s="147"/>
      <c r="D45" s="3">
        <f>Input!Q34</f>
        <v>10887.5</v>
      </c>
      <c r="E45" s="4"/>
      <c r="F45" s="4">
        <f>SUM(F46:F52)</f>
        <v>1052.7777777777778</v>
      </c>
      <c r="G45" s="4">
        <f aca="true" t="shared" si="8" ref="G45:O45">SUM(G46:G52)</f>
        <v>1052.7777777777778</v>
      </c>
      <c r="H45" s="4">
        <f t="shared" si="8"/>
        <v>1802.7777777777776</v>
      </c>
      <c r="I45" s="4">
        <f t="shared" si="8"/>
        <v>1515.2777777777776</v>
      </c>
      <c r="J45" s="4">
        <f t="shared" si="8"/>
        <v>1393.0555555555554</v>
      </c>
      <c r="K45" s="4">
        <f t="shared" si="8"/>
        <v>2270.8333333333335</v>
      </c>
      <c r="L45" s="4">
        <f t="shared" si="8"/>
        <v>450</v>
      </c>
      <c r="M45" s="4">
        <f t="shared" si="8"/>
        <v>450</v>
      </c>
      <c r="N45" s="4">
        <f t="shared" si="8"/>
        <v>450</v>
      </c>
      <c r="O45" s="4">
        <f t="shared" si="8"/>
        <v>450</v>
      </c>
      <c r="P45" s="4"/>
      <c r="Q45" s="4"/>
    </row>
    <row r="46" spans="1:17" ht="12" outlineLevel="1">
      <c r="A46" s="160" t="str">
        <f>Input!A27</f>
        <v>Bank Revolver</v>
      </c>
      <c r="B46" s="161"/>
      <c r="C46" s="161"/>
      <c r="D46" s="17"/>
      <c r="E46" s="17"/>
      <c r="F46" s="17">
        <f>IF(F$12&gt;Input!$S$27,0,Input!$R$27)</f>
        <v>450</v>
      </c>
      <c r="G46" s="17">
        <f>IF(G$12&gt;Input!$S$27,0,Input!$R$27)</f>
        <v>450</v>
      </c>
      <c r="H46" s="17">
        <f>IF(H$12&gt;Input!$S$27,0,Input!$R$27)</f>
        <v>450</v>
      </c>
      <c r="I46" s="17">
        <f>IF(I$12&gt;Input!$S$27,0,Input!$R$27)</f>
        <v>450</v>
      </c>
      <c r="J46" s="17">
        <f>IF(J$12&gt;Input!$S$27,0,Input!$R$27)</f>
        <v>450</v>
      </c>
      <c r="K46" s="17">
        <f>IF(K$12&gt;Input!$S$27,0,Input!$R$27)</f>
        <v>450</v>
      </c>
      <c r="L46" s="17">
        <f>IF(L$12&gt;Input!$S$27,0,Input!$R$27)</f>
        <v>450</v>
      </c>
      <c r="M46" s="17">
        <f>IF(M$12&gt;Input!$S$27,0,Input!$R$27)</f>
        <v>450</v>
      </c>
      <c r="N46" s="17">
        <f>IF(N$12&gt;Input!$S$27,0,Input!$R$27)</f>
        <v>450</v>
      </c>
      <c r="O46" s="17">
        <f>IF(O$12&gt;Input!$S$27,0,Input!$R$27)</f>
        <v>450</v>
      </c>
      <c r="P46" s="4"/>
      <c r="Q46" s="4"/>
    </row>
    <row r="47" spans="1:17" ht="12" outlineLevel="1">
      <c r="A47" s="160" t="str">
        <f>Input!A28</f>
        <v>Term Loan "A"</v>
      </c>
      <c r="B47" s="161"/>
      <c r="C47" s="161"/>
      <c r="D47" s="17"/>
      <c r="E47" s="17"/>
      <c r="F47" s="17">
        <f>IF(AND(ROUND(Bal_Sheet!F48,2)=0,ROUND(Bal_Sheet!E48,2)&gt;0),Input!$Q28-SUM($E47:E47),(MIN(Input!$Q28-SUM($E47:E47),Input!$R28)))</f>
        <v>150</v>
      </c>
      <c r="G47" s="17">
        <f>IF(AND(ROUND(Bal_Sheet!G48,2)=0,ROUND(Bal_Sheet!F48,2)&gt;0),Input!$Q28-SUM($E47:F47),(MIN(Input!$Q28-SUM($E47:F47),Input!$R28)))</f>
        <v>150</v>
      </c>
      <c r="H47" s="17">
        <f>IF(AND(ROUND(Bal_Sheet!H48,2)=0,ROUND(Bal_Sheet!G48,2)&gt;0),Input!$Q28-SUM($E47:G47),(MIN(Input!$Q28-SUM($E47:G47),Input!$R28)))</f>
        <v>900</v>
      </c>
      <c r="I47" s="17">
        <f>IF(AND(ROUND(Bal_Sheet!I48,2)=0,ROUND(Bal_Sheet!H48,2)&gt;0),Input!$Q28-SUM($E47:H47),(MIN(Input!$Q28-SUM($E47:H47),Input!$R28)))</f>
        <v>0</v>
      </c>
      <c r="J47" s="17">
        <f>IF(AND(ROUND(Bal_Sheet!J48,2)=0,ROUND(Bal_Sheet!I48,2)&gt;0),Input!$Q28-SUM($E47:I47),(MIN(Input!$Q28-SUM($E47:I47),Input!$R28)))</f>
        <v>0</v>
      </c>
      <c r="K47" s="17">
        <f>IF(AND(ROUND(Bal_Sheet!K48,2)=0,ROUND(Bal_Sheet!J48,2)&gt;0),Input!$Q28-SUM($E47:J47),(MIN(Input!$Q28-SUM($E47:J47),Input!$R28)))</f>
        <v>0</v>
      </c>
      <c r="L47" s="17">
        <f>IF(AND(ROUND(Bal_Sheet!L48,2)=0,ROUND(Bal_Sheet!K48,2)&gt;0),Input!$Q28-SUM($E47:K47),(MIN(Input!$Q28-SUM($E47:K47),Input!$R28)))</f>
        <v>0</v>
      </c>
      <c r="M47" s="17">
        <f>IF(AND(ROUND(Bal_Sheet!M48,2)=0,ROUND(Bal_Sheet!L48,2)&gt;0),Input!$Q28-SUM($E47:L47),(MIN(Input!$Q28-SUM($E47:L47),Input!$R28)))</f>
        <v>0</v>
      </c>
      <c r="N47" s="17">
        <f>IF(AND(ROUND(Bal_Sheet!N48,2)=0,ROUND(Bal_Sheet!M48,2)&gt;0),Input!$Q28-SUM($E47:M47),(MIN(Input!$Q28-SUM($E47:M47),Input!$R28)))</f>
        <v>0</v>
      </c>
      <c r="O47" s="17">
        <f>IF(AND(ROUND(Bal_Sheet!O48,2)=0,ROUND(Bal_Sheet!N48,2)&gt;0),Input!$Q28-SUM($E47:N47),(MIN(Input!$Q28-SUM($E47:N47),Input!$R28)))</f>
        <v>0</v>
      </c>
      <c r="P47" s="4"/>
      <c r="Q47" s="4"/>
    </row>
    <row r="48" spans="1:17" ht="12" outlineLevel="1">
      <c r="A48" s="160" t="str">
        <f>Input!A29</f>
        <v>Term Loan "B"</v>
      </c>
      <c r="B48" s="161"/>
      <c r="C48" s="161"/>
      <c r="D48" s="17"/>
      <c r="E48" s="17"/>
      <c r="F48" s="17">
        <f>IF(AND(ROUND(Bal_Sheet!F49,2)=0,ROUND(Bal_Sheet!E49,2)&gt;0),Input!$Q29-SUM($E48:E48),(MIN(Input!$Q29-SUM($E48:E48),Input!$R29)))</f>
        <v>87.50000000000001</v>
      </c>
      <c r="G48" s="17">
        <f>IF(AND(ROUND(Bal_Sheet!G49,2)=0,ROUND(Bal_Sheet!F49,2)&gt;0),Input!$Q29-SUM($E48:F48),(MIN(Input!$Q29-SUM($E48:F48),Input!$R29)))</f>
        <v>87.50000000000001</v>
      </c>
      <c r="H48" s="17">
        <f>IF(AND(ROUND(Bal_Sheet!H49,2)=0,ROUND(Bal_Sheet!G49,2)&gt;0),Input!$Q29-SUM($E48:G48),(MIN(Input!$Q29-SUM($E48:G48),Input!$R29)))</f>
        <v>87.50000000000001</v>
      </c>
      <c r="I48" s="17">
        <f>IF(AND(ROUND(Bal_Sheet!I49,2)=0,ROUND(Bal_Sheet!H49,2)&gt;0),Input!$Q29-SUM($E48:H48),(MIN(Input!$Q29-SUM($E48:H48),Input!$R29)))</f>
        <v>700</v>
      </c>
      <c r="J48" s="17">
        <f>IF(AND(ROUND(Bal_Sheet!J49,2)=0,ROUND(Bal_Sheet!I49,2)&gt;0),Input!$Q29-SUM($E48:I48),(MIN(Input!$Q29-SUM($E48:I48),Input!$R29)))</f>
        <v>1.1368683772161603E-13</v>
      </c>
      <c r="K48" s="17">
        <f>IF(AND(ROUND(Bal_Sheet!K49,2)=0,ROUND(Bal_Sheet!J49,2)&gt;0),Input!$Q29-SUM($E48:J48),(MIN(Input!$Q29-SUM($E48:J48),Input!$R29)))</f>
        <v>0</v>
      </c>
      <c r="L48" s="17">
        <f>IF(AND(ROUND(Bal_Sheet!L49,2)=0,ROUND(Bal_Sheet!K49,2)&gt;0),Input!$Q29-SUM($E48:K48),(MIN(Input!$Q29-SUM($E48:K48),Input!$R29)))</f>
        <v>0</v>
      </c>
      <c r="M48" s="17">
        <f>IF(AND(ROUND(Bal_Sheet!M49,2)=0,ROUND(Bal_Sheet!L49,2)&gt;0),Input!$Q29-SUM($E48:L48),(MIN(Input!$Q29-SUM($E48:L48),Input!$R29)))</f>
        <v>0</v>
      </c>
      <c r="N48" s="17">
        <f>IF(AND(ROUND(Bal_Sheet!N49,2)=0,ROUND(Bal_Sheet!M49,2)&gt;0),Input!$Q29-SUM($E48:M48),(MIN(Input!$Q29-SUM($E48:M48),Input!$R29)))</f>
        <v>0</v>
      </c>
      <c r="O48" s="17">
        <f>IF(AND(ROUND(Bal_Sheet!O49,2)=0,ROUND(Bal_Sheet!N49,2)&gt;0),Input!$Q29-SUM($E48:N48),(MIN(Input!$Q29-SUM($E48:N48),Input!$R29)))</f>
        <v>0</v>
      </c>
      <c r="P48" s="4"/>
      <c r="Q48" s="4"/>
    </row>
    <row r="49" spans="1:17" ht="12" outlineLevel="1">
      <c r="A49" s="160" t="str">
        <f>Input!A30</f>
        <v>Senior Notes</v>
      </c>
      <c r="B49" s="161"/>
      <c r="C49" s="161"/>
      <c r="D49" s="17"/>
      <c r="E49" s="17"/>
      <c r="F49" s="17">
        <f>IF(AND(ROUND(Bal_Sheet!F50,2)=0,ROUND(Bal_Sheet!E50,2)&gt;0),Input!$Q30-SUM($E49:E49),(MIN(Input!$Q30-SUM($E49:E49),Input!$R30)))</f>
        <v>144.44444444444446</v>
      </c>
      <c r="G49" s="17">
        <f>IF(AND(ROUND(Bal_Sheet!G50,2)=0,ROUND(Bal_Sheet!F50,2)&gt;0),Input!$Q30-SUM($E49:F49),(MIN(Input!$Q30-SUM($E49:F49),Input!$R30)))</f>
        <v>144.44444444444446</v>
      </c>
      <c r="H49" s="17">
        <f>IF(AND(ROUND(Bal_Sheet!H50,2)=0,ROUND(Bal_Sheet!G50,2)&gt;0),Input!$Q30-SUM($E49:G49),(MIN(Input!$Q30-SUM($E49:G49),Input!$R30)))</f>
        <v>144.44444444444446</v>
      </c>
      <c r="I49" s="17">
        <f>IF(AND(ROUND(Bal_Sheet!I50,2)=0,ROUND(Bal_Sheet!H50,2)&gt;0),Input!$Q30-SUM($E49:H49),(MIN(Input!$Q30-SUM($E49:H49),Input!$R30)))</f>
        <v>144.44444444444446</v>
      </c>
      <c r="J49" s="17">
        <f>IF(AND(ROUND(Bal_Sheet!J50,2)=0,ROUND(Bal_Sheet!I50,2)&gt;0),Input!$Q30-SUM($E49:I49),(MIN(Input!$Q30-SUM($E49:I49),Input!$R30)))</f>
        <v>722.2222222222222</v>
      </c>
      <c r="K49" s="17">
        <f>IF(AND(ROUND(Bal_Sheet!K50,2)=0,ROUND(Bal_Sheet!J50,2)&gt;0),Input!$Q30-SUM($E49:J49),(MIN(Input!$Q30-SUM($E49:J49),Input!$R30)))</f>
        <v>0</v>
      </c>
      <c r="L49" s="17">
        <f>IF(AND(ROUND(Bal_Sheet!L50,2)=0,ROUND(Bal_Sheet!K50,2)&gt;0),Input!$Q30-SUM($E49:K49),(MIN(Input!$Q30-SUM($E49:K49),Input!$R30)))</f>
        <v>0</v>
      </c>
      <c r="M49" s="17">
        <f>IF(AND(ROUND(Bal_Sheet!M50,2)=0,ROUND(Bal_Sheet!L50,2)&gt;0),Input!$Q30-SUM($E49:L49),(MIN(Input!$Q30-SUM($E49:L49),Input!$R30)))</f>
        <v>0</v>
      </c>
      <c r="N49" s="17">
        <f>IF(AND(ROUND(Bal_Sheet!N50,2)=0,ROUND(Bal_Sheet!M50,2)&gt;0),Input!$Q30-SUM($E49:M49),(MIN(Input!$Q30-SUM($E49:M49),Input!$R30)))</f>
        <v>0</v>
      </c>
      <c r="O49" s="17">
        <f>IF(AND(ROUND(Bal_Sheet!O50,2)=0,ROUND(Bal_Sheet!N50,2)&gt;0),Input!$Q30-SUM($E49:N49),(MIN(Input!$Q30-SUM($E49:N49),Input!$R30)))</f>
        <v>0</v>
      </c>
      <c r="P49" s="4"/>
      <c r="Q49" s="4"/>
    </row>
    <row r="50" spans="1:17" ht="12" outlineLevel="1">
      <c r="A50" s="160" t="str">
        <f>Input!A31</f>
        <v>Subordinated Notes</v>
      </c>
      <c r="B50" s="161"/>
      <c r="C50" s="161"/>
      <c r="D50" s="17"/>
      <c r="E50" s="17"/>
      <c r="F50" s="17">
        <f>IF(AND(ROUND(Bal_Sheet!F51,2)=0,ROUND(Bal_Sheet!E51,2)&gt;0),Input!$Q31-SUM($E50:E50),(MIN(Input!$Q31-SUM($E50:E50),Input!$R31)))</f>
        <v>83.33333333333333</v>
      </c>
      <c r="G50" s="17">
        <f>IF(AND(ROUND(Bal_Sheet!G51,2)=0,ROUND(Bal_Sheet!F51,2)&gt;0),Input!$Q31-SUM($E50:F50),(MIN(Input!$Q31-SUM($E50:F50),Input!$R31)))</f>
        <v>83.33333333333333</v>
      </c>
      <c r="H50" s="17">
        <f>IF(AND(ROUND(Bal_Sheet!H51,2)=0,ROUND(Bal_Sheet!G51,2)&gt;0),Input!$Q31-SUM($E50:G50),(MIN(Input!$Q31-SUM($E50:G50),Input!$R31)))</f>
        <v>83.33333333333333</v>
      </c>
      <c r="I50" s="17">
        <f>IF(AND(ROUND(Bal_Sheet!I51,2)=0,ROUND(Bal_Sheet!H51,2)&gt;0),Input!$Q31-SUM($E50:H50),(MIN(Input!$Q31-SUM($E50:H50),Input!$R31)))</f>
        <v>83.33333333333333</v>
      </c>
      <c r="J50" s="17">
        <f>IF(AND(ROUND(Bal_Sheet!J51,2)=0,ROUND(Bal_Sheet!I51,2)&gt;0),Input!$Q31-SUM($E50:I50),(MIN(Input!$Q31-SUM($E50:I50),Input!$R31)))</f>
        <v>83.33333333333333</v>
      </c>
      <c r="K50" s="17">
        <f>IF(AND(ROUND(Bal_Sheet!K51,2)=0,ROUND(Bal_Sheet!J51,2)&gt;0),Input!$Q31-SUM($E50:J50),(MIN(Input!$Q31-SUM($E50:J50),Input!$R31)))</f>
        <v>583.3333333333334</v>
      </c>
      <c r="L50" s="17">
        <f>IF(AND(ROUND(Bal_Sheet!L51,2)=0,ROUND(Bal_Sheet!K51,2)&gt;0),Input!$Q31-SUM($E50:K50),(MIN(Input!$Q31-SUM($E50:K50),Input!$R31)))</f>
        <v>0</v>
      </c>
      <c r="M50" s="17">
        <f>IF(AND(ROUND(Bal_Sheet!M51,2)=0,ROUND(Bal_Sheet!L51,2)&gt;0),Input!$Q31-SUM($E50:L50),(MIN(Input!$Q31-SUM($E50:L50),Input!$R31)))</f>
        <v>0</v>
      </c>
      <c r="N50" s="17">
        <f>IF(AND(ROUND(Bal_Sheet!N51,2)=0,ROUND(Bal_Sheet!M51,2)&gt;0),Input!$Q31-SUM($E50:M50),(MIN(Input!$Q31-SUM($E50:M50),Input!$R31)))</f>
        <v>0</v>
      </c>
      <c r="O50" s="17">
        <f>IF(AND(ROUND(Bal_Sheet!O51,2)=0,ROUND(Bal_Sheet!N51,2)&gt;0),Input!$Q31-SUM($E50:N50),(MIN(Input!$Q31-SUM($E50:N50),Input!$R31)))</f>
        <v>0</v>
      </c>
      <c r="P50" s="4"/>
      <c r="Q50" s="4"/>
    </row>
    <row r="51" spans="1:17" ht="12" outlineLevel="1">
      <c r="A51" s="160" t="str">
        <f>Input!A32</f>
        <v>Mezzanine Debt</v>
      </c>
      <c r="B51" s="161"/>
      <c r="C51" s="161"/>
      <c r="D51" s="17"/>
      <c r="E51" s="17"/>
      <c r="F51" s="17">
        <f>IF(AND(ROUND(Bal_Sheet!F52,2)=0,ROUND(Bal_Sheet!E52,2)&gt;0),Input!$Q32-SUM($E51:E51),(MIN(Input!$Q32-SUM($E51:E51),Input!$R32)))</f>
        <v>137.5</v>
      </c>
      <c r="G51" s="17">
        <f>IF(AND(ROUND(Bal_Sheet!G52,2)=0,ROUND(Bal_Sheet!F52,2)&gt;0),Input!$Q32-SUM($E51:F51),(MIN(Input!$Q32-SUM($E51:F51),Input!$R32)))</f>
        <v>137.5</v>
      </c>
      <c r="H51" s="17">
        <f>IF(AND(ROUND(Bal_Sheet!H52,2)=0,ROUND(Bal_Sheet!G52,2)&gt;0),Input!$Q32-SUM($E51:G51),(MIN(Input!$Q32-SUM($E51:G51),Input!$R32)))</f>
        <v>137.5</v>
      </c>
      <c r="I51" s="17">
        <f>IF(AND(ROUND(Bal_Sheet!I52,2)=0,ROUND(Bal_Sheet!H52,2)&gt;0),Input!$Q32-SUM($E51:H51),(MIN(Input!$Q32-SUM($E51:H51),Input!$R32)))</f>
        <v>137.5</v>
      </c>
      <c r="J51" s="17">
        <f>IF(AND(ROUND(Bal_Sheet!J52,2)=0,ROUND(Bal_Sheet!I52,2)&gt;0),Input!$Q32-SUM($E51:I51),(MIN(Input!$Q32-SUM($E51:I51),Input!$R32)))</f>
        <v>137.5</v>
      </c>
      <c r="K51" s="17">
        <f>IF(AND(ROUND(Bal_Sheet!K52,2)=0,ROUND(Bal_Sheet!J52,2)&gt;0),Input!$Q32-SUM($E51:J51),(MIN(Input!$Q32-SUM($E51:J51),Input!$R32)))</f>
        <v>1237.5</v>
      </c>
      <c r="L51" s="17">
        <f>IF(AND(ROUND(Bal_Sheet!L52,2)=0,ROUND(Bal_Sheet!K52,2)&gt;0),Input!$Q32-SUM($E51:K51),(MIN(Input!$Q32-SUM($E51:K51),Input!$R32)))</f>
        <v>0</v>
      </c>
      <c r="M51" s="17">
        <f>IF(AND(ROUND(Bal_Sheet!M52,2)=0,ROUND(Bal_Sheet!L52,2)&gt;0),Input!$Q32-SUM($E51:L51),(MIN(Input!$Q32-SUM($E51:L51),Input!$R32)))</f>
        <v>0</v>
      </c>
      <c r="N51" s="17">
        <f>IF(AND(ROUND(Bal_Sheet!N52,2)=0,ROUND(Bal_Sheet!M52,2)&gt;0),Input!$Q32-SUM($E51:M51),(MIN(Input!$Q32-SUM($E51:M51),Input!$R32)))</f>
        <v>0</v>
      </c>
      <c r="O51" s="17">
        <f>IF(AND(ROUND(Bal_Sheet!O52,2)=0,ROUND(Bal_Sheet!N52,2)&gt;0),Input!$Q32-SUM($E51:N51),(MIN(Input!$Q32-SUM($E51:N51),Input!$R32)))</f>
        <v>0</v>
      </c>
      <c r="P51" s="4"/>
      <c r="Q51" s="4"/>
    </row>
    <row r="52" spans="1:17" ht="12" outlineLevel="1">
      <c r="A52" s="160" t="str">
        <f>Input!A33</f>
        <v>Seller Notes</v>
      </c>
      <c r="B52" s="161"/>
      <c r="C52" s="161"/>
      <c r="D52" s="17"/>
      <c r="E52" s="17"/>
      <c r="F52" s="17">
        <f>IF(AND(ROUND(Bal_Sheet!F53,2)=0,ROUND(Bal_Sheet!E53,2)&gt;0),Input!$Q33-SUM($E52:E52),(MIN(Input!$Q33-SUM($E52:E52),Input!$R33)))</f>
        <v>0</v>
      </c>
      <c r="G52" s="17">
        <f>IF(AND(ROUND(Bal_Sheet!G53,2)=0,ROUND(Bal_Sheet!F53,2)&gt;0),Input!$Q33-SUM($E52:F52),(MIN(Input!$Q33-SUM($E52:F52),Input!$R33)))</f>
        <v>0</v>
      </c>
      <c r="H52" s="17">
        <f>IF(AND(ROUND(Bal_Sheet!H53,2)=0,ROUND(Bal_Sheet!G53,2)&gt;0),Input!$Q33-SUM($E52:G52),(MIN(Input!$Q33-SUM($E52:G52),Input!$R33)))</f>
        <v>0</v>
      </c>
      <c r="I52" s="17">
        <f>IF(AND(ROUND(Bal_Sheet!I53,2)=0,ROUND(Bal_Sheet!H53,2)&gt;0),Input!$Q33-SUM($E52:H52),(MIN(Input!$Q33-SUM($E52:H52),Input!$R33)))</f>
        <v>0</v>
      </c>
      <c r="J52" s="17">
        <f>IF(AND(ROUND(Bal_Sheet!J53,2)=0,ROUND(Bal_Sheet!I53,2)&gt;0),Input!$Q33-SUM($E52:I52),(MIN(Input!$Q33-SUM($E52:I52),Input!$R33)))</f>
        <v>0</v>
      </c>
      <c r="K52" s="17">
        <f>IF(AND(ROUND(Bal_Sheet!K53,2)=0,ROUND(Bal_Sheet!J53,2)&gt;0),Input!$Q33-SUM($E52:J52),(MIN(Input!$Q33-SUM($E52:J52),Input!$R33)))</f>
        <v>0</v>
      </c>
      <c r="L52" s="17">
        <f>IF(AND(ROUND(Bal_Sheet!L53,2)=0,ROUND(Bal_Sheet!K53,2)&gt;0),Input!$Q33-SUM($E52:K52),(MIN(Input!$Q33-SUM($E52:K52),Input!$R33)))</f>
        <v>0</v>
      </c>
      <c r="M52" s="17">
        <f>IF(AND(ROUND(Bal_Sheet!M53,2)=0,ROUND(Bal_Sheet!L53,2)&gt;0),Input!$Q33-SUM($E52:L52),(MIN(Input!$Q33-SUM($E52:L52),Input!$R33)))</f>
        <v>0</v>
      </c>
      <c r="N52" s="17">
        <f>IF(AND(ROUND(Bal_Sheet!N53,2)=0,ROUND(Bal_Sheet!M53,2)&gt;0),Input!$Q33-SUM($E52:M52),(MIN(Input!$Q33-SUM($E52:M52),Input!$R33)))</f>
        <v>0</v>
      </c>
      <c r="O52" s="17">
        <f>IF(AND(ROUND(Bal_Sheet!O53,2)=0,ROUND(Bal_Sheet!N53,2)&gt;0),Input!$Q33-SUM($E52:N52),(MIN(Input!$Q33-SUM($E52:N52),Input!$R33)))</f>
        <v>0</v>
      </c>
      <c r="P52" s="4"/>
      <c r="Q52" s="4"/>
    </row>
    <row r="53" spans="1:17" ht="12">
      <c r="A53" s="134"/>
      <c r="B53" s="147"/>
      <c r="C53" s="147"/>
      <c r="D53" s="4"/>
      <c r="E53" s="4"/>
      <c r="F53" s="4"/>
      <c r="G53" s="4"/>
      <c r="H53" s="4"/>
      <c r="I53" s="4"/>
      <c r="J53" s="4"/>
      <c r="K53" s="4"/>
      <c r="L53" s="4"/>
      <c r="M53" s="4"/>
      <c r="N53" s="4"/>
      <c r="O53" s="4"/>
      <c r="P53" s="4"/>
      <c r="Q53" s="4"/>
    </row>
    <row r="54" spans="1:17" ht="12">
      <c r="A54" s="134"/>
      <c r="B54" s="147"/>
      <c r="C54" s="147"/>
      <c r="D54" s="4"/>
      <c r="E54" s="4"/>
      <c r="F54" s="4"/>
      <c r="G54" s="4"/>
      <c r="H54" s="4"/>
      <c r="I54" s="4"/>
      <c r="J54" s="4"/>
      <c r="K54" s="4"/>
      <c r="L54" s="4"/>
      <c r="M54" s="4"/>
      <c r="N54" s="4"/>
      <c r="O54" s="4"/>
      <c r="P54" s="4"/>
      <c r="Q54" s="4"/>
    </row>
    <row r="55" spans="1:17" ht="12">
      <c r="A55" s="162"/>
      <c r="B55" s="163"/>
      <c r="C55" s="163"/>
      <c r="D55" s="96"/>
      <c r="E55" s="96"/>
      <c r="F55" s="96"/>
      <c r="G55" s="96"/>
      <c r="H55" s="96"/>
      <c r="I55" s="96"/>
      <c r="J55" s="96"/>
      <c r="K55" s="96"/>
      <c r="L55" s="96"/>
      <c r="M55" s="96"/>
      <c r="N55" s="96"/>
      <c r="O55" s="96"/>
      <c r="P55" s="4"/>
      <c r="Q55" s="4"/>
    </row>
    <row r="56" spans="1:17" ht="12">
      <c r="A56" s="134"/>
      <c r="B56" s="147"/>
      <c r="C56" s="147"/>
      <c r="D56" s="4"/>
      <c r="E56" s="4"/>
      <c r="F56" s="4"/>
      <c r="G56" s="4"/>
      <c r="H56" s="4"/>
      <c r="I56" s="4"/>
      <c r="J56" s="4"/>
      <c r="K56" s="4"/>
      <c r="L56" s="4"/>
      <c r="M56" s="4"/>
      <c r="N56" s="4"/>
      <c r="O56" s="4"/>
      <c r="P56" s="4"/>
      <c r="Q56" s="4"/>
    </row>
    <row r="57" spans="1:17" ht="12">
      <c r="A57" s="134"/>
      <c r="B57" s="147"/>
      <c r="C57" s="147"/>
      <c r="D57" s="4"/>
      <c r="E57" s="4"/>
      <c r="F57" s="4"/>
      <c r="G57" s="4"/>
      <c r="H57" s="4"/>
      <c r="I57" s="4"/>
      <c r="J57" s="4"/>
      <c r="K57" s="4"/>
      <c r="L57" s="4"/>
      <c r="M57" s="4"/>
      <c r="N57" s="4"/>
      <c r="O57" s="4"/>
      <c r="P57" s="4"/>
      <c r="Q57" s="4"/>
    </row>
    <row r="58" spans="1:17" ht="12.75">
      <c r="A58" s="164" t="s">
        <v>242</v>
      </c>
      <c r="B58" s="140"/>
      <c r="C58" s="140"/>
      <c r="F58" s="32" t="s">
        <v>277</v>
      </c>
      <c r="G58" s="33"/>
      <c r="H58" s="122">
        <v>415000</v>
      </c>
      <c r="J58" s="345" t="s">
        <v>219</v>
      </c>
      <c r="K58" s="346"/>
      <c r="L58" s="347"/>
      <c r="P58" s="4"/>
      <c r="Q58" s="4"/>
    </row>
    <row r="59" spans="1:17" ht="12">
      <c r="A59" s="140"/>
      <c r="B59" s="140"/>
      <c r="C59" s="140"/>
      <c r="F59" s="25"/>
      <c r="G59" s="25"/>
      <c r="H59" s="116"/>
      <c r="J59" s="165">
        <v>0</v>
      </c>
      <c r="K59" s="41" t="s">
        <v>230</v>
      </c>
      <c r="L59" s="42"/>
      <c r="P59" s="4"/>
      <c r="Q59" s="4"/>
    </row>
    <row r="60" spans="1:17" ht="12">
      <c r="A60" s="140"/>
      <c r="B60" s="140"/>
      <c r="C60" s="140"/>
      <c r="F60" s="25"/>
      <c r="G60" s="25"/>
      <c r="H60" s="116"/>
      <c r="P60" s="4"/>
      <c r="Q60" s="4"/>
    </row>
    <row r="61" spans="6:17" ht="12">
      <c r="F61" s="57"/>
      <c r="G61" s="57"/>
      <c r="H61" s="57"/>
      <c r="I61" s="57"/>
      <c r="J61" s="57"/>
      <c r="K61" s="57"/>
      <c r="L61" s="57"/>
      <c r="M61" s="57"/>
      <c r="N61" s="57"/>
      <c r="O61" s="57"/>
      <c r="P61" s="4"/>
      <c r="Q61" s="4"/>
    </row>
    <row r="62" spans="1:17" ht="12">
      <c r="A62" s="50" t="s">
        <v>281</v>
      </c>
      <c r="B62" s="50"/>
      <c r="C62" s="50"/>
      <c r="F62" s="3"/>
      <c r="G62" s="3"/>
      <c r="H62" s="3"/>
      <c r="I62" s="3"/>
      <c r="J62" s="3"/>
      <c r="K62" s="3"/>
      <c r="L62" s="3"/>
      <c r="M62" s="3"/>
      <c r="N62" s="3"/>
      <c r="O62" s="3"/>
      <c r="P62" s="4"/>
      <c r="Q62" s="4"/>
    </row>
    <row r="63" spans="1:17" ht="12">
      <c r="A63" s="134"/>
      <c r="B63" s="156" t="s">
        <v>221</v>
      </c>
      <c r="C63" s="157" t="s">
        <v>227</v>
      </c>
      <c r="D63" s="156" t="s">
        <v>222</v>
      </c>
      <c r="F63" s="3"/>
      <c r="G63" s="3"/>
      <c r="H63" s="3"/>
      <c r="I63" s="3"/>
      <c r="J63" s="3"/>
      <c r="K63" s="3"/>
      <c r="L63" s="3"/>
      <c r="M63" s="3"/>
      <c r="N63" s="3"/>
      <c r="O63" s="3"/>
      <c r="P63" s="4"/>
      <c r="Q63" s="4"/>
    </row>
    <row r="64" spans="1:17" ht="12">
      <c r="A64" s="134" t="s">
        <v>220</v>
      </c>
      <c r="B64" s="154">
        <v>130000</v>
      </c>
      <c r="C64" s="155">
        <v>12</v>
      </c>
      <c r="D64" s="154">
        <v>900</v>
      </c>
      <c r="E64" s="4"/>
      <c r="F64" s="4">
        <f>IF(F$12&gt;$C64,0,IF($J$5=1,SYD($B64,$D64,$C64,F$12),SLN($B64,$D64,$C64)))</f>
        <v>10758.333333333334</v>
      </c>
      <c r="G64" s="4">
        <f aca="true" t="shared" si="9" ref="G64:O64">IF(G$12&gt;$C64,0,IF($J$5=1,SYD($B64,$D64,$C64,G$12),SLN($B64,$D64,$C64)))</f>
        <v>10758.333333333334</v>
      </c>
      <c r="H64" s="4">
        <f t="shared" si="9"/>
        <v>10758.333333333334</v>
      </c>
      <c r="I64" s="4">
        <f t="shared" si="9"/>
        <v>10758.333333333334</v>
      </c>
      <c r="J64" s="4">
        <f t="shared" si="9"/>
        <v>10758.333333333334</v>
      </c>
      <c r="K64" s="4">
        <f t="shared" si="9"/>
        <v>10758.333333333334</v>
      </c>
      <c r="L64" s="4">
        <f t="shared" si="9"/>
        <v>10758.333333333334</v>
      </c>
      <c r="M64" s="4">
        <f t="shared" si="9"/>
        <v>10758.333333333334</v>
      </c>
      <c r="N64" s="4">
        <f t="shared" si="9"/>
        <v>10758.333333333334</v>
      </c>
      <c r="O64" s="4">
        <f t="shared" si="9"/>
        <v>10758.333333333334</v>
      </c>
      <c r="P64" s="4"/>
      <c r="Q64" s="4"/>
    </row>
    <row r="65" spans="1:17" ht="12">
      <c r="A65" s="134" t="s">
        <v>223</v>
      </c>
      <c r="B65" s="155">
        <v>105000</v>
      </c>
      <c r="C65" s="155">
        <v>10</v>
      </c>
      <c r="D65" s="155">
        <v>800</v>
      </c>
      <c r="E65" s="4"/>
      <c r="F65" s="4">
        <f aca="true" t="shared" si="10" ref="F65:O67">IF(F$12&gt;$C65,0,IF($J$5=1,SYD($B65,$D65,$C65,F$12),SLN($B65,$D65,$C65)))</f>
        <v>10420</v>
      </c>
      <c r="G65" s="4">
        <f t="shared" si="10"/>
        <v>10420</v>
      </c>
      <c r="H65" s="4">
        <f t="shared" si="10"/>
        <v>10420</v>
      </c>
      <c r="I65" s="4">
        <f t="shared" si="10"/>
        <v>10420</v>
      </c>
      <c r="J65" s="4">
        <f t="shared" si="10"/>
        <v>10420</v>
      </c>
      <c r="K65" s="4">
        <f t="shared" si="10"/>
        <v>10420</v>
      </c>
      <c r="L65" s="4">
        <f t="shared" si="10"/>
        <v>10420</v>
      </c>
      <c r="M65" s="4">
        <f t="shared" si="10"/>
        <v>10420</v>
      </c>
      <c r="N65" s="4">
        <f t="shared" si="10"/>
        <v>10420</v>
      </c>
      <c r="O65" s="4">
        <f t="shared" si="10"/>
        <v>10420</v>
      </c>
      <c r="P65" s="4"/>
      <c r="Q65" s="4"/>
    </row>
    <row r="66" spans="1:17" ht="12">
      <c r="A66" s="134" t="s">
        <v>224</v>
      </c>
      <c r="B66" s="155">
        <v>95000</v>
      </c>
      <c r="C66" s="155">
        <v>8</v>
      </c>
      <c r="D66" s="155">
        <v>600</v>
      </c>
      <c r="E66" s="4"/>
      <c r="F66" s="4">
        <f t="shared" si="10"/>
        <v>11800</v>
      </c>
      <c r="G66" s="4">
        <f t="shared" si="10"/>
        <v>11800</v>
      </c>
      <c r="H66" s="4">
        <f t="shared" si="10"/>
        <v>11800</v>
      </c>
      <c r="I66" s="4">
        <f t="shared" si="10"/>
        <v>11800</v>
      </c>
      <c r="J66" s="4">
        <f t="shared" si="10"/>
        <v>11800</v>
      </c>
      <c r="K66" s="4">
        <f t="shared" si="10"/>
        <v>11800</v>
      </c>
      <c r="L66" s="4">
        <f t="shared" si="10"/>
        <v>11800</v>
      </c>
      <c r="M66" s="4">
        <f t="shared" si="10"/>
        <v>11800</v>
      </c>
      <c r="N66" s="4">
        <f t="shared" si="10"/>
        <v>0</v>
      </c>
      <c r="O66" s="4">
        <f t="shared" si="10"/>
        <v>0</v>
      </c>
      <c r="P66" s="4"/>
      <c r="Q66" s="4"/>
    </row>
    <row r="67" spans="1:17" ht="12">
      <c r="A67" s="134" t="s">
        <v>225</v>
      </c>
      <c r="B67" s="3">
        <f>H58-SUM(B64:B66)</f>
        <v>85000</v>
      </c>
      <c r="C67" s="155">
        <v>6</v>
      </c>
      <c r="D67" s="155">
        <v>600</v>
      </c>
      <c r="E67" s="4"/>
      <c r="F67" s="4">
        <f t="shared" si="10"/>
        <v>14066.666666666666</v>
      </c>
      <c r="G67" s="4">
        <f t="shared" si="10"/>
        <v>14066.666666666666</v>
      </c>
      <c r="H67" s="4">
        <f t="shared" si="10"/>
        <v>14066.666666666666</v>
      </c>
      <c r="I67" s="4">
        <f t="shared" si="10"/>
        <v>14066.666666666666</v>
      </c>
      <c r="J67" s="4">
        <f t="shared" si="10"/>
        <v>14066.666666666666</v>
      </c>
      <c r="K67" s="4">
        <f t="shared" si="10"/>
        <v>14066.666666666666</v>
      </c>
      <c r="L67" s="4">
        <f t="shared" si="10"/>
        <v>0</v>
      </c>
      <c r="M67" s="4">
        <f t="shared" si="10"/>
        <v>0</v>
      </c>
      <c r="N67" s="4">
        <f t="shared" si="10"/>
        <v>0</v>
      </c>
      <c r="O67" s="4">
        <f t="shared" si="10"/>
        <v>0</v>
      </c>
      <c r="P67" s="4"/>
      <c r="Q67" s="4"/>
    </row>
    <row r="68" spans="1:17" ht="12">
      <c r="A68" s="134"/>
      <c r="B68" s="152">
        <f>SUM(B64:B67)</f>
        <v>415000</v>
      </c>
      <c r="C68" s="3"/>
      <c r="D68" s="152">
        <f>SUM(D64:D67)</f>
        <v>2900</v>
      </c>
      <c r="E68" s="3"/>
      <c r="F68" s="151">
        <f aca="true" t="shared" si="11" ref="F68:O68">SUM(F64:F67)</f>
        <v>47045</v>
      </c>
      <c r="G68" s="151">
        <f t="shared" si="11"/>
        <v>47045</v>
      </c>
      <c r="H68" s="151">
        <f t="shared" si="11"/>
        <v>47045</v>
      </c>
      <c r="I68" s="151">
        <f t="shared" si="11"/>
        <v>47045</v>
      </c>
      <c r="J68" s="151">
        <f t="shared" si="11"/>
        <v>47045</v>
      </c>
      <c r="K68" s="151">
        <f t="shared" si="11"/>
        <v>47045</v>
      </c>
      <c r="L68" s="151">
        <f t="shared" si="11"/>
        <v>32978.333333333336</v>
      </c>
      <c r="M68" s="151">
        <f t="shared" si="11"/>
        <v>32978.333333333336</v>
      </c>
      <c r="N68" s="151">
        <f t="shared" si="11"/>
        <v>21178.333333333336</v>
      </c>
      <c r="O68" s="151">
        <f t="shared" si="11"/>
        <v>21178.333333333336</v>
      </c>
      <c r="P68" s="4"/>
      <c r="Q68" s="4"/>
    </row>
    <row r="69" spans="1:17" ht="12">
      <c r="A69" s="134"/>
      <c r="B69" s="147"/>
      <c r="C69" s="147"/>
      <c r="D69" s="4"/>
      <c r="E69" s="4"/>
      <c r="F69" s="4"/>
      <c r="G69" s="4"/>
      <c r="H69" s="4"/>
      <c r="I69" s="4"/>
      <c r="J69" s="4"/>
      <c r="K69" s="4"/>
      <c r="L69" s="4"/>
      <c r="M69" s="4"/>
      <c r="N69" s="4"/>
      <c r="O69" s="4"/>
      <c r="P69" s="4"/>
      <c r="Q69" s="4"/>
    </row>
    <row r="70" spans="1:17" ht="12">
      <c r="A70" s="153" t="s">
        <v>187</v>
      </c>
      <c r="B70" s="147"/>
      <c r="C70" s="147"/>
      <c r="D70" s="4"/>
      <c r="E70" s="4"/>
      <c r="F70" s="4"/>
      <c r="G70" s="4"/>
      <c r="H70" s="4"/>
      <c r="I70" s="4"/>
      <c r="J70" s="4"/>
      <c r="K70" s="4"/>
      <c r="L70" s="4"/>
      <c r="M70" s="4"/>
      <c r="N70" s="4"/>
      <c r="O70" s="4"/>
      <c r="P70" s="4"/>
      <c r="Q70" s="4"/>
    </row>
    <row r="71" spans="1:17" ht="12">
      <c r="A71" s="156" t="s">
        <v>14</v>
      </c>
      <c r="B71" s="158" t="s">
        <v>187</v>
      </c>
      <c r="C71" s="158" t="s">
        <v>226</v>
      </c>
      <c r="D71" s="158" t="s">
        <v>222</v>
      </c>
      <c r="E71" s="4"/>
      <c r="F71" s="4"/>
      <c r="G71" s="4"/>
      <c r="H71" s="4"/>
      <c r="I71" s="4"/>
      <c r="J71" s="4"/>
      <c r="K71" s="4"/>
      <c r="L71" s="4"/>
      <c r="M71" s="4"/>
      <c r="N71" s="4"/>
      <c r="O71" s="4"/>
      <c r="P71" s="4"/>
      <c r="Q71" s="4"/>
    </row>
    <row r="72" spans="1:15" ht="12">
      <c r="A72" s="56">
        <f>F12</f>
        <v>1</v>
      </c>
      <c r="B72" s="159">
        <f>IF(capex_interval="",0,IF(capex_start_year="",0,IF($A72&lt;capex_start_year,0,IF(MOD($A72-capex_start_year,capex_interval)=0,Inc_St!$D$8*capex,0))))</f>
        <v>110000</v>
      </c>
      <c r="C72" s="155">
        <v>12</v>
      </c>
      <c r="D72" s="154"/>
      <c r="E72" s="4"/>
      <c r="F72" s="4">
        <f aca="true" t="shared" si="12" ref="F72:O81">IF($A72&gt;F$12,0,IF(F$12&gt;$C72+$A72-1,0,IF($J$5=1,SYD($B72,$D72,$C72,F$12),SLN($B72,$D72,$C72))))</f>
        <v>9166.666666666666</v>
      </c>
      <c r="G72" s="4">
        <f t="shared" si="12"/>
        <v>9166.666666666666</v>
      </c>
      <c r="H72" s="4">
        <f t="shared" si="12"/>
        <v>9166.666666666666</v>
      </c>
      <c r="I72" s="4">
        <f t="shared" si="12"/>
        <v>9166.666666666666</v>
      </c>
      <c r="J72" s="4">
        <f t="shared" si="12"/>
        <v>9166.666666666666</v>
      </c>
      <c r="K72" s="4">
        <f t="shared" si="12"/>
        <v>9166.666666666666</v>
      </c>
      <c r="L72" s="4">
        <f t="shared" si="12"/>
        <v>9166.666666666666</v>
      </c>
      <c r="M72" s="4">
        <f t="shared" si="12"/>
        <v>9166.666666666666</v>
      </c>
      <c r="N72" s="4">
        <f t="shared" si="12"/>
        <v>9166.666666666666</v>
      </c>
      <c r="O72" s="4">
        <f t="shared" si="12"/>
        <v>9166.666666666666</v>
      </c>
    </row>
    <row r="73" spans="1:15" ht="12">
      <c r="A73" s="56">
        <f>G12</f>
        <v>2</v>
      </c>
      <c r="B73" s="3">
        <f>IF(capex_interval="",0,IF(capex_start_year="",0,IF($A73&lt;capex_start_year,0,IF(MOD($A73-capex_start_year,capex_interval)=0,Inc_St!$E$8*capex,0))))</f>
        <v>121000</v>
      </c>
      <c r="C73" s="155">
        <v>8</v>
      </c>
      <c r="D73" s="155"/>
      <c r="E73" s="4"/>
      <c r="F73" s="4">
        <f t="shared" si="12"/>
        <v>0</v>
      </c>
      <c r="G73" s="4">
        <f t="shared" si="12"/>
        <v>15125</v>
      </c>
      <c r="H73" s="4">
        <f t="shared" si="12"/>
        <v>15125</v>
      </c>
      <c r="I73" s="4">
        <f t="shared" si="12"/>
        <v>15125</v>
      </c>
      <c r="J73" s="4">
        <f t="shared" si="12"/>
        <v>15125</v>
      </c>
      <c r="K73" s="4">
        <f t="shared" si="12"/>
        <v>15125</v>
      </c>
      <c r="L73" s="4">
        <f t="shared" si="12"/>
        <v>15125</v>
      </c>
      <c r="M73" s="4">
        <f t="shared" si="12"/>
        <v>15125</v>
      </c>
      <c r="N73" s="4">
        <f t="shared" si="12"/>
        <v>15125</v>
      </c>
      <c r="O73" s="4">
        <f t="shared" si="12"/>
        <v>0</v>
      </c>
    </row>
    <row r="74" spans="1:15" ht="12">
      <c r="A74" s="56">
        <f>H12</f>
        <v>3</v>
      </c>
      <c r="B74" s="3">
        <f>IF(capex_interval="",0,IF(capex_start_year="",0,IF($A74&lt;capex_start_year,0,IF(MOD($A74-capex_start_year,capex_interval)=0,Inc_St!$F$8*capex,0))))</f>
        <v>133100</v>
      </c>
      <c r="C74" s="155">
        <v>15</v>
      </c>
      <c r="D74" s="155"/>
      <c r="E74" s="4"/>
      <c r="F74" s="4">
        <f t="shared" si="12"/>
        <v>0</v>
      </c>
      <c r="G74" s="4">
        <f t="shared" si="12"/>
        <v>0</v>
      </c>
      <c r="H74" s="4">
        <f t="shared" si="12"/>
        <v>8873.333333333334</v>
      </c>
      <c r="I74" s="4">
        <f t="shared" si="12"/>
        <v>8873.333333333334</v>
      </c>
      <c r="J74" s="4">
        <f t="shared" si="12"/>
        <v>8873.333333333334</v>
      </c>
      <c r="K74" s="4">
        <f t="shared" si="12"/>
        <v>8873.333333333334</v>
      </c>
      <c r="L74" s="4">
        <f t="shared" si="12"/>
        <v>8873.333333333334</v>
      </c>
      <c r="M74" s="4">
        <f t="shared" si="12"/>
        <v>8873.333333333334</v>
      </c>
      <c r="N74" s="4">
        <f t="shared" si="12"/>
        <v>8873.333333333334</v>
      </c>
      <c r="O74" s="4">
        <f t="shared" si="12"/>
        <v>8873.333333333334</v>
      </c>
    </row>
    <row r="75" spans="1:15" ht="12">
      <c r="A75" s="56">
        <f>I12</f>
        <v>4</v>
      </c>
      <c r="B75" s="3">
        <f>IF(capex_interval="",0,IF(capex_start_year="",0,IF($A75&lt;capex_start_year,0,IF(MOD($A75-capex_start_year,capex_interval)=0,Inc_St!$G$8*capex,0))))</f>
        <v>146410.00000000003</v>
      </c>
      <c r="C75" s="155">
        <v>9</v>
      </c>
      <c r="D75" s="155"/>
      <c r="E75" s="4"/>
      <c r="F75" s="4">
        <f t="shared" si="12"/>
        <v>0</v>
      </c>
      <c r="G75" s="4">
        <f t="shared" si="12"/>
        <v>0</v>
      </c>
      <c r="H75" s="4">
        <f t="shared" si="12"/>
        <v>0</v>
      </c>
      <c r="I75" s="4">
        <f t="shared" si="12"/>
        <v>16267.777777777781</v>
      </c>
      <c r="J75" s="4">
        <f t="shared" si="12"/>
        <v>16267.777777777781</v>
      </c>
      <c r="K75" s="4">
        <f t="shared" si="12"/>
        <v>16267.777777777781</v>
      </c>
      <c r="L75" s="4">
        <f t="shared" si="12"/>
        <v>16267.777777777781</v>
      </c>
      <c r="M75" s="4">
        <f t="shared" si="12"/>
        <v>16267.777777777781</v>
      </c>
      <c r="N75" s="4">
        <f t="shared" si="12"/>
        <v>16267.777777777781</v>
      </c>
      <c r="O75" s="4">
        <f t="shared" si="12"/>
        <v>16267.777777777781</v>
      </c>
    </row>
    <row r="76" spans="1:15" ht="12">
      <c r="A76" s="56">
        <f>J12</f>
        <v>5</v>
      </c>
      <c r="B76" s="3">
        <f>IF(capex_interval="",0,IF(capex_start_year="",0,IF($A76&lt;capex_start_year,0,IF(MOD($A76-capex_start_year,capex_interval)=0,Inc_St!$H$8*capex,0))))</f>
        <v>161051.00000000006</v>
      </c>
      <c r="C76" s="155">
        <v>4</v>
      </c>
      <c r="D76" s="155"/>
      <c r="E76" s="4"/>
      <c r="F76" s="4">
        <f t="shared" si="12"/>
        <v>0</v>
      </c>
      <c r="G76" s="4">
        <f t="shared" si="12"/>
        <v>0</v>
      </c>
      <c r="H76" s="4">
        <f t="shared" si="12"/>
        <v>0</v>
      </c>
      <c r="I76" s="4">
        <f t="shared" si="12"/>
        <v>0</v>
      </c>
      <c r="J76" s="4">
        <f t="shared" si="12"/>
        <v>40262.750000000015</v>
      </c>
      <c r="K76" s="4">
        <f t="shared" si="12"/>
        <v>40262.750000000015</v>
      </c>
      <c r="L76" s="4">
        <f t="shared" si="12"/>
        <v>40262.750000000015</v>
      </c>
      <c r="M76" s="4">
        <f t="shared" si="12"/>
        <v>40262.750000000015</v>
      </c>
      <c r="N76" s="4">
        <f t="shared" si="12"/>
        <v>0</v>
      </c>
      <c r="O76" s="4">
        <f t="shared" si="12"/>
        <v>0</v>
      </c>
    </row>
    <row r="77" spans="1:15" ht="12">
      <c r="A77" s="56">
        <f>K12</f>
        <v>6</v>
      </c>
      <c r="B77" s="3">
        <f>IF(capex_interval="",0,IF(capex_start_year="",0,IF($A77&lt;capex_start_year,0,IF(MOD($A77-capex_start_year,capex_interval)=0,Inc_St!$I$8*capex,0))))</f>
        <v>177156.1000000001</v>
      </c>
      <c r="C77" s="155">
        <v>16</v>
      </c>
      <c r="D77" s="155"/>
      <c r="E77" s="4"/>
      <c r="F77" s="4">
        <f t="shared" si="12"/>
        <v>0</v>
      </c>
      <c r="G77" s="4">
        <f t="shared" si="12"/>
        <v>0</v>
      </c>
      <c r="H77" s="4">
        <f t="shared" si="12"/>
        <v>0</v>
      </c>
      <c r="I77" s="4">
        <f t="shared" si="12"/>
        <v>0</v>
      </c>
      <c r="J77" s="4">
        <f t="shared" si="12"/>
        <v>0</v>
      </c>
      <c r="K77" s="4">
        <f t="shared" si="12"/>
        <v>11072.256250000006</v>
      </c>
      <c r="L77" s="4">
        <f t="shared" si="12"/>
        <v>11072.256250000006</v>
      </c>
      <c r="M77" s="4">
        <f t="shared" si="12"/>
        <v>11072.256250000006</v>
      </c>
      <c r="N77" s="4">
        <f t="shared" si="12"/>
        <v>11072.256250000006</v>
      </c>
      <c r="O77" s="4">
        <f t="shared" si="12"/>
        <v>11072.256250000006</v>
      </c>
    </row>
    <row r="78" spans="1:15" ht="12">
      <c r="A78" s="56">
        <f>L12</f>
        <v>7</v>
      </c>
      <c r="B78" s="3">
        <f>IF(capex_interval="",0,IF(capex_start_year="",0,IF($A78&lt;capex_start_year,0,IF(MOD($A78-capex_start_year,capex_interval)=0,Inc_St!$J$8*capex,0))))</f>
        <v>194871.7100000001</v>
      </c>
      <c r="C78" s="155">
        <v>15</v>
      </c>
      <c r="D78" s="155"/>
      <c r="E78" s="4"/>
      <c r="F78" s="4">
        <f t="shared" si="12"/>
        <v>0</v>
      </c>
      <c r="G78" s="4">
        <f t="shared" si="12"/>
        <v>0</v>
      </c>
      <c r="H78" s="4">
        <f t="shared" si="12"/>
        <v>0</v>
      </c>
      <c r="I78" s="4">
        <f t="shared" si="12"/>
        <v>0</v>
      </c>
      <c r="J78" s="4">
        <f t="shared" si="12"/>
        <v>0</v>
      </c>
      <c r="K78" s="4">
        <f t="shared" si="12"/>
        <v>0</v>
      </c>
      <c r="L78" s="4">
        <f t="shared" si="12"/>
        <v>12991.44733333334</v>
      </c>
      <c r="M78" s="4">
        <f t="shared" si="12"/>
        <v>12991.44733333334</v>
      </c>
      <c r="N78" s="4">
        <f t="shared" si="12"/>
        <v>12991.44733333334</v>
      </c>
      <c r="O78" s="4">
        <f t="shared" si="12"/>
        <v>12991.44733333334</v>
      </c>
    </row>
    <row r="79" spans="1:15" ht="12">
      <c r="A79" s="56">
        <f>M12</f>
        <v>8</v>
      </c>
      <c r="B79" s="3">
        <f>IF(capex_interval="",0,IF(capex_start_year="",0,IF($A79&lt;capex_start_year,0,IF(MOD($A79-capex_start_year,capex_interval)=0,Inc_St!$K$8*capex,0))))</f>
        <v>214358.88100000017</v>
      </c>
      <c r="C79" s="155">
        <v>2</v>
      </c>
      <c r="D79" s="155"/>
      <c r="E79" s="4"/>
      <c r="F79" s="4">
        <f t="shared" si="12"/>
        <v>0</v>
      </c>
      <c r="G79" s="4">
        <f t="shared" si="12"/>
        <v>0</v>
      </c>
      <c r="H79" s="4">
        <f t="shared" si="12"/>
        <v>0</v>
      </c>
      <c r="I79" s="4">
        <f t="shared" si="12"/>
        <v>0</v>
      </c>
      <c r="J79" s="4">
        <f t="shared" si="12"/>
        <v>0</v>
      </c>
      <c r="K79" s="4">
        <f t="shared" si="12"/>
        <v>0</v>
      </c>
      <c r="L79" s="4">
        <f t="shared" si="12"/>
        <v>0</v>
      </c>
      <c r="M79" s="4">
        <f t="shared" si="12"/>
        <v>107179.44050000008</v>
      </c>
      <c r="N79" s="4">
        <f t="shared" si="12"/>
        <v>107179.44050000008</v>
      </c>
      <c r="O79" s="4">
        <f t="shared" si="12"/>
        <v>0</v>
      </c>
    </row>
    <row r="80" spans="1:15" ht="12">
      <c r="A80" s="56">
        <f>N12</f>
        <v>9</v>
      </c>
      <c r="B80" s="3">
        <f>IF(capex_interval="",0,IF(capex_start_year="",0,IF($A80&lt;capex_start_year,0,IF(MOD($A80-capex_start_year,capex_interval)=0,Inc_St!$L$8*capex,0))))</f>
        <v>235794.7691000002</v>
      </c>
      <c r="C80" s="155">
        <v>12</v>
      </c>
      <c r="D80" s="155"/>
      <c r="E80" s="4"/>
      <c r="F80" s="4">
        <f t="shared" si="12"/>
        <v>0</v>
      </c>
      <c r="G80" s="4">
        <f t="shared" si="12"/>
        <v>0</v>
      </c>
      <c r="H80" s="4">
        <f t="shared" si="12"/>
        <v>0</v>
      </c>
      <c r="I80" s="4">
        <f t="shared" si="12"/>
        <v>0</v>
      </c>
      <c r="J80" s="4">
        <f t="shared" si="12"/>
        <v>0</v>
      </c>
      <c r="K80" s="4">
        <f t="shared" si="12"/>
        <v>0</v>
      </c>
      <c r="L80" s="4">
        <f t="shared" si="12"/>
        <v>0</v>
      </c>
      <c r="M80" s="4">
        <f t="shared" si="12"/>
        <v>0</v>
      </c>
      <c r="N80" s="4">
        <f t="shared" si="12"/>
        <v>19649.564091666685</v>
      </c>
      <c r="O80" s="4">
        <f t="shared" si="12"/>
        <v>19649.564091666685</v>
      </c>
    </row>
    <row r="81" spans="1:15" ht="12">
      <c r="A81" s="56">
        <f>O12</f>
        <v>10</v>
      </c>
      <c r="B81" s="3">
        <f>IF(capex_interval="",0,IF(capex_start_year="",0,IF($A81&lt;capex_start_year,0,IF(MOD($A81-capex_start_year,capex_interval)=0,Inc_St!$M$8*capex,0))))</f>
        <v>259374.24601000026</v>
      </c>
      <c r="C81" s="155">
        <v>12</v>
      </c>
      <c r="D81" s="155"/>
      <c r="E81" s="4"/>
      <c r="F81" s="4">
        <f t="shared" si="12"/>
        <v>0</v>
      </c>
      <c r="G81" s="4">
        <f t="shared" si="12"/>
        <v>0</v>
      </c>
      <c r="H81" s="4">
        <f t="shared" si="12"/>
        <v>0</v>
      </c>
      <c r="I81" s="4">
        <f t="shared" si="12"/>
        <v>0</v>
      </c>
      <c r="J81" s="4">
        <f t="shared" si="12"/>
        <v>0</v>
      </c>
      <c r="K81" s="4">
        <f t="shared" si="12"/>
        <v>0</v>
      </c>
      <c r="L81" s="4">
        <f t="shared" si="12"/>
        <v>0</v>
      </c>
      <c r="M81" s="4">
        <f t="shared" si="12"/>
        <v>0</v>
      </c>
      <c r="N81" s="4">
        <f t="shared" si="12"/>
        <v>0</v>
      </c>
      <c r="O81" s="4">
        <f t="shared" si="12"/>
        <v>21614.520500833354</v>
      </c>
    </row>
    <row r="82" spans="1:15" ht="12">
      <c r="A82" s="134"/>
      <c r="B82" s="152">
        <f>SUM(B72:B81)</f>
        <v>1753116.7061100008</v>
      </c>
      <c r="C82" s="147"/>
      <c r="D82" s="152">
        <f>SUM(D72:D81)</f>
        <v>0</v>
      </c>
      <c r="E82" s="4"/>
      <c r="F82" s="12">
        <f>SUM(F72:F81)</f>
        <v>9166.666666666666</v>
      </c>
      <c r="G82" s="12">
        <f aca="true" t="shared" si="13" ref="G82:O82">SUM(G72:G81)</f>
        <v>24291.666666666664</v>
      </c>
      <c r="H82" s="12">
        <f t="shared" si="13"/>
        <v>33165</v>
      </c>
      <c r="I82" s="12">
        <f t="shared" si="13"/>
        <v>49432.77777777778</v>
      </c>
      <c r="J82" s="12">
        <f t="shared" si="13"/>
        <v>89695.5277777778</v>
      </c>
      <c r="K82" s="12">
        <f t="shared" si="13"/>
        <v>100767.7840277778</v>
      </c>
      <c r="L82" s="12">
        <f t="shared" si="13"/>
        <v>113759.23136111115</v>
      </c>
      <c r="M82" s="12">
        <f t="shared" si="13"/>
        <v>220938.67186111124</v>
      </c>
      <c r="N82" s="12">
        <f t="shared" si="13"/>
        <v>200325.4859527779</v>
      </c>
      <c r="O82" s="12">
        <f t="shared" si="13"/>
        <v>99635.56595361118</v>
      </c>
    </row>
    <row r="83" spans="1:15" ht="12">
      <c r="A83" s="134"/>
      <c r="B83" s="147"/>
      <c r="C83" s="147"/>
      <c r="D83" s="4"/>
      <c r="E83" s="4"/>
      <c r="F83" s="4"/>
      <c r="G83" s="4"/>
      <c r="H83" s="4"/>
      <c r="I83" s="4"/>
      <c r="J83" s="4"/>
      <c r="K83" s="4"/>
      <c r="L83" s="4"/>
      <c r="M83" s="4"/>
      <c r="N83" s="4"/>
      <c r="O83" s="4"/>
    </row>
    <row r="84" spans="1:15" ht="12">
      <c r="A84" s="153" t="s">
        <v>243</v>
      </c>
      <c r="B84" s="147"/>
      <c r="C84" s="147"/>
      <c r="D84" s="4"/>
      <c r="E84" s="4"/>
      <c r="F84" s="4">
        <f>SUM(F68,F82)</f>
        <v>56211.666666666664</v>
      </c>
      <c r="G84" s="4">
        <f aca="true" t="shared" si="14" ref="G84:O84">SUM(G68,G82)</f>
        <v>71336.66666666666</v>
      </c>
      <c r="H84" s="4">
        <f t="shared" si="14"/>
        <v>80210</v>
      </c>
      <c r="I84" s="4">
        <f t="shared" si="14"/>
        <v>96477.77777777778</v>
      </c>
      <c r="J84" s="4">
        <f t="shared" si="14"/>
        <v>136740.5277777778</v>
      </c>
      <c r="K84" s="4">
        <f t="shared" si="14"/>
        <v>147812.7840277778</v>
      </c>
      <c r="L84" s="4">
        <f t="shared" si="14"/>
        <v>146737.56469444447</v>
      </c>
      <c r="M84" s="4">
        <f t="shared" si="14"/>
        <v>253917.0051944446</v>
      </c>
      <c r="N84" s="4">
        <f t="shared" si="14"/>
        <v>221503.81928611125</v>
      </c>
      <c r="O84" s="4">
        <f t="shared" si="14"/>
        <v>120813.8992869445</v>
      </c>
    </row>
    <row r="85" spans="1:15" ht="12">
      <c r="A85" s="67"/>
      <c r="B85" s="148"/>
      <c r="C85" s="148"/>
      <c r="D85" s="4"/>
      <c r="E85" s="4"/>
      <c r="F85" s="4"/>
      <c r="G85" s="4"/>
      <c r="H85" s="4"/>
      <c r="I85" s="4"/>
      <c r="J85" s="4"/>
      <c r="K85" s="4"/>
      <c r="L85" s="4"/>
      <c r="M85" s="4"/>
      <c r="N85" s="4"/>
      <c r="O85" s="4"/>
    </row>
    <row r="86" spans="1:15" ht="12">
      <c r="A86" s="134"/>
      <c r="B86" s="147"/>
      <c r="C86" s="147"/>
      <c r="D86" s="158" t="s">
        <v>239</v>
      </c>
      <c r="E86" s="4"/>
      <c r="F86" s="4"/>
      <c r="G86" s="4"/>
      <c r="H86" s="4"/>
      <c r="I86" s="4"/>
      <c r="J86" s="4"/>
      <c r="K86" s="4"/>
      <c r="L86" s="4"/>
      <c r="M86" s="4"/>
      <c r="N86" s="4"/>
      <c r="O86" s="4"/>
    </row>
    <row r="87" spans="1:15" ht="12">
      <c r="A87" s="153" t="s">
        <v>237</v>
      </c>
      <c r="B87" s="147"/>
      <c r="C87" s="147"/>
      <c r="D87" s="155">
        <v>15</v>
      </c>
      <c r="E87" s="4"/>
      <c r="F87" s="4">
        <f>IF(F$12&gt;$D$87,0,Bal_Sheet!$E$20/$D$87)</f>
        <v>143.33333333333334</v>
      </c>
      <c r="G87" s="4">
        <f>IF(G$12&gt;$D$87,0,Bal_Sheet!$E$20/$D$87)</f>
        <v>143.33333333333334</v>
      </c>
      <c r="H87" s="4">
        <f>IF(H$12&gt;$D$87,0,Bal_Sheet!$E$20/$D$87)</f>
        <v>143.33333333333334</v>
      </c>
      <c r="I87" s="4">
        <f>IF(I$12&gt;$D$87,0,Bal_Sheet!$E$20/$D$87)</f>
        <v>143.33333333333334</v>
      </c>
      <c r="J87" s="4">
        <f>IF(J$12&gt;$D$87,0,Bal_Sheet!$E$20/$D$87)</f>
        <v>143.33333333333334</v>
      </c>
      <c r="K87" s="4">
        <f>IF(K$12&gt;$D$87,0,Bal_Sheet!$E$20/$D$87)</f>
        <v>143.33333333333334</v>
      </c>
      <c r="L87" s="4">
        <f>IF(L$12&gt;$D$87,0,Bal_Sheet!$E$20/$D$87)</f>
        <v>143.33333333333334</v>
      </c>
      <c r="M87" s="4">
        <f>IF(M$12&gt;$D$87,0,Bal_Sheet!$E$20/$D$87)</f>
        <v>143.33333333333334</v>
      </c>
      <c r="N87" s="4">
        <f>IF(N$12&gt;$D$87,0,Bal_Sheet!$E$20/$D$87)</f>
        <v>143.33333333333334</v>
      </c>
      <c r="O87" s="4">
        <f>IF(O$12&gt;$D$87,0,Bal_Sheet!$E$20/$D$87)</f>
        <v>143.33333333333334</v>
      </c>
    </row>
    <row r="88" spans="1:15" ht="12">
      <c r="A88" s="153" t="s">
        <v>244</v>
      </c>
      <c r="B88" s="147"/>
      <c r="C88" s="147"/>
      <c r="D88" s="155">
        <v>15</v>
      </c>
      <c r="E88" s="4"/>
      <c r="F88" s="137">
        <f>IF(F$12&gt;$D$88,0,Bal_Sheet!$E$19/$D$88)</f>
        <v>14098.566666666668</v>
      </c>
      <c r="G88" s="137">
        <f>IF(G$12&gt;$D$88,0,Bal_Sheet!$E$19/$D$88)</f>
        <v>14098.566666666668</v>
      </c>
      <c r="H88" s="137">
        <f>IF(H$12&gt;$D$88,0,Bal_Sheet!$E$19/$D$88)</f>
        <v>14098.566666666668</v>
      </c>
      <c r="I88" s="137">
        <f>IF(I$12&gt;$D$88,0,Bal_Sheet!$E$19/$D$88)</f>
        <v>14098.566666666668</v>
      </c>
      <c r="J88" s="137">
        <f>IF(J$12&gt;$D$88,0,Bal_Sheet!$E$19/$D$88)</f>
        <v>14098.566666666668</v>
      </c>
      <c r="K88" s="137">
        <f>IF(K$12&gt;$D$88,0,Bal_Sheet!$E$19/$D$88)</f>
        <v>14098.566666666668</v>
      </c>
      <c r="L88" s="137">
        <f>IF(L$12&gt;$D$88,0,Bal_Sheet!$E$19/$D$88)</f>
        <v>14098.566666666668</v>
      </c>
      <c r="M88" s="137">
        <f>IF(M$12&gt;$D$88,0,Bal_Sheet!$E$19/$D$88)</f>
        <v>14098.566666666668</v>
      </c>
      <c r="N88" s="137">
        <f>IF(N$12&gt;$D$88,0,Bal_Sheet!$E$19/$D$88)</f>
        <v>14098.566666666668</v>
      </c>
      <c r="O88" s="137">
        <f>IF(O$12&gt;$D$88,0,Bal_Sheet!$E$19/$D$88)</f>
        <v>14098.566666666668</v>
      </c>
    </row>
    <row r="89" ht="12"/>
    <row r="90" ht="12"/>
    <row r="91" ht="12"/>
    <row r="92" ht="12"/>
    <row r="93" ht="12"/>
  </sheetData>
  <sheetProtection/>
  <mergeCells count="6">
    <mergeCell ref="J4:L4"/>
    <mergeCell ref="J58:L58"/>
    <mergeCell ref="J7:L7"/>
    <mergeCell ref="N5:P5"/>
    <mergeCell ref="O6:P6"/>
    <mergeCell ref="N4:P4"/>
  </mergeCells>
  <dataValidations count="1">
    <dataValidation type="list" allowBlank="1" showInputMessage="1" showErrorMessage="1" sqref="J8 N6 J59 J5">
      <formula1>"0,1"</formula1>
    </dataValidation>
  </dataValidation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2:AO89"/>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O16" sqref="O16"/>
    </sheetView>
  </sheetViews>
  <sheetFormatPr defaultColWidth="9.140625" defaultRowHeight="12.75"/>
  <cols>
    <col min="1" max="1" width="16.00390625" style="0" customWidth="1"/>
    <col min="2" max="2" width="15.7109375" style="0" customWidth="1"/>
    <col min="3" max="3" width="2.8515625" style="0" customWidth="1"/>
    <col min="4" max="13" width="10.7109375" style="0" customWidth="1"/>
  </cols>
  <sheetData>
    <row r="2" ht="15">
      <c r="A2" s="92" t="s">
        <v>245</v>
      </c>
    </row>
    <row r="3" spans="4:13" ht="12.75">
      <c r="D3" s="19"/>
      <c r="E3" s="19"/>
      <c r="F3" s="19"/>
      <c r="G3" s="19"/>
      <c r="H3" s="19"/>
      <c r="I3" s="19"/>
      <c r="J3" s="19"/>
      <c r="K3" s="19"/>
      <c r="L3" s="19"/>
      <c r="M3" s="19"/>
    </row>
    <row r="4" spans="1:13" ht="12.75">
      <c r="A4" s="2" t="s">
        <v>14</v>
      </c>
      <c r="C4" s="70"/>
      <c r="D4" s="68">
        <f>year1</f>
        <v>2010</v>
      </c>
      <c r="E4" s="14">
        <f>D4+1</f>
        <v>2011</v>
      </c>
      <c r="F4" s="14">
        <f aca="true" t="shared" si="0" ref="F4:M5">E4+1</f>
        <v>2012</v>
      </c>
      <c r="G4" s="14">
        <f t="shared" si="0"/>
        <v>2013</v>
      </c>
      <c r="H4" s="14">
        <f t="shared" si="0"/>
        <v>2014</v>
      </c>
      <c r="I4" s="14">
        <f t="shared" si="0"/>
        <v>2015</v>
      </c>
      <c r="J4" s="14">
        <f t="shared" si="0"/>
        <v>2016</v>
      </c>
      <c r="K4" s="14">
        <f t="shared" si="0"/>
        <v>2017</v>
      </c>
      <c r="L4" s="14">
        <f t="shared" si="0"/>
        <v>2018</v>
      </c>
      <c r="M4" s="14">
        <f t="shared" si="0"/>
        <v>2019</v>
      </c>
    </row>
    <row r="5" spans="1:41" ht="12.75">
      <c r="A5" s="6" t="s">
        <v>70</v>
      </c>
      <c r="C5" s="70"/>
      <c r="D5" s="69">
        <v>1</v>
      </c>
      <c r="E5" s="15">
        <f>D5+1</f>
        <v>2</v>
      </c>
      <c r="F5" s="15">
        <f t="shared" si="0"/>
        <v>3</v>
      </c>
      <c r="G5" s="15">
        <f t="shared" si="0"/>
        <v>4</v>
      </c>
      <c r="H5" s="15">
        <f t="shared" si="0"/>
        <v>5</v>
      </c>
      <c r="I5" s="15">
        <f t="shared" si="0"/>
        <v>6</v>
      </c>
      <c r="J5" s="15">
        <f t="shared" si="0"/>
        <v>7</v>
      </c>
      <c r="K5" s="15">
        <f t="shared" si="0"/>
        <v>8</v>
      </c>
      <c r="L5" s="15">
        <f t="shared" si="0"/>
        <v>9</v>
      </c>
      <c r="M5" s="15">
        <f t="shared" si="0"/>
        <v>10</v>
      </c>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3:15" ht="12.75">
      <c r="C6" s="7"/>
      <c r="D6" s="166"/>
      <c r="E6" s="166"/>
      <c r="F6" s="166"/>
      <c r="G6" s="166"/>
      <c r="H6" s="166"/>
      <c r="I6" s="166"/>
      <c r="J6" s="166"/>
      <c r="K6" s="166"/>
      <c r="L6" s="166"/>
      <c r="M6" s="166"/>
      <c r="N6" s="7"/>
      <c r="O6" s="7"/>
    </row>
    <row r="7" spans="3:15" ht="12.75">
      <c r="C7" s="7"/>
      <c r="D7" s="166"/>
      <c r="E7" s="166"/>
      <c r="F7" s="166"/>
      <c r="G7" s="166"/>
      <c r="H7" s="166"/>
      <c r="I7" s="166"/>
      <c r="J7" s="166"/>
      <c r="K7" s="166"/>
      <c r="L7" s="166"/>
      <c r="M7" s="166"/>
      <c r="N7" s="7"/>
      <c r="O7" s="7"/>
    </row>
    <row r="8" spans="1:15" ht="12.75">
      <c r="A8" s="6" t="s">
        <v>246</v>
      </c>
      <c r="C8" s="7"/>
      <c r="D8" s="4">
        <f>Inc_St!D39</f>
        <v>214211.89190646837</v>
      </c>
      <c r="E8" s="4">
        <f>Inc_St!E39</f>
        <v>233238.30768737994</v>
      </c>
      <c r="F8" s="4">
        <f>Inc_St!F39</f>
        <v>259559.13326164978</v>
      </c>
      <c r="G8" s="4">
        <f>Inc_St!G39</f>
        <v>288654.6032078056</v>
      </c>
      <c r="H8" s="4">
        <f>Inc_St!H39</f>
        <v>315807.3718438395</v>
      </c>
      <c r="I8" s="4">
        <f>Inc_St!I39</f>
        <v>350447.0899633215</v>
      </c>
      <c r="J8" s="4">
        <f>Inc_St!J39</f>
        <v>429310.45785087807</v>
      </c>
      <c r="K8" s="4">
        <f>Inc_St!K39</f>
        <v>468774.3332053868</v>
      </c>
      <c r="L8" s="4">
        <f>Inc_St!L39</f>
        <v>513098.64565275435</v>
      </c>
      <c r="M8" s="4">
        <f>Inc_St!M39</f>
        <v>550799.8031999365</v>
      </c>
      <c r="N8" s="7"/>
      <c r="O8" s="7"/>
    </row>
    <row r="9" spans="3:15" ht="12.75">
      <c r="C9" s="7"/>
      <c r="D9" s="4"/>
      <c r="E9" s="4"/>
      <c r="F9" s="4"/>
      <c r="G9" s="4"/>
      <c r="H9" s="4"/>
      <c r="I9" s="4"/>
      <c r="J9" s="4"/>
      <c r="K9" s="4"/>
      <c r="L9" s="4"/>
      <c r="M9" s="4"/>
      <c r="N9" s="7"/>
      <c r="O9" s="7"/>
    </row>
    <row r="10" spans="1:15" ht="12.75">
      <c r="A10" s="6" t="s">
        <v>255</v>
      </c>
      <c r="C10" s="7"/>
      <c r="D10" s="4">
        <f>Depr_Amort!F39</f>
        <v>72745</v>
      </c>
      <c r="E10" s="4">
        <f>Depr_Amort!G39</f>
        <v>84845</v>
      </c>
      <c r="F10" s="4">
        <f>Depr_Amort!H39</f>
        <v>93718.33333333334</v>
      </c>
      <c r="G10" s="4">
        <f>Depr_Amort!I39</f>
        <v>104176.19047619047</v>
      </c>
      <c r="H10" s="4">
        <f>Depr_Amort!J39</f>
        <v>117597.10714285716</v>
      </c>
      <c r="I10" s="4">
        <f>Depr_Amort!K39</f>
        <v>128669.36339285717</v>
      </c>
      <c r="J10" s="4">
        <f>Depr_Amort!L39</f>
        <v>101352.47739285717</v>
      </c>
      <c r="K10" s="4">
        <f>Depr_Amort!M39</f>
        <v>115643.06945952385</v>
      </c>
      <c r="L10" s="4">
        <f>Depr_Amort!N39</f>
        <v>127867.63355119053</v>
      </c>
      <c r="M10" s="4">
        <f>Depr_Amort!O39</f>
        <v>149482.1540520239</v>
      </c>
      <c r="N10" s="7"/>
      <c r="O10" s="7"/>
    </row>
    <row r="11" spans="1:15" ht="12.75">
      <c r="A11" s="6" t="s">
        <v>259</v>
      </c>
      <c r="C11" s="7"/>
      <c r="D11" s="4">
        <f aca="true" t="shared" si="1" ref="D11:M11">D48</f>
        <v>1250</v>
      </c>
      <c r="E11" s="4">
        <f t="shared" si="1"/>
        <v>1350</v>
      </c>
      <c r="F11" s="4">
        <f t="shared" si="1"/>
        <v>1450</v>
      </c>
      <c r="G11" s="4">
        <f t="shared" si="1"/>
        <v>1550</v>
      </c>
      <c r="H11" s="4">
        <f t="shared" si="1"/>
        <v>1650</v>
      </c>
      <c r="I11" s="4">
        <f t="shared" si="1"/>
        <v>1750</v>
      </c>
      <c r="J11" s="4">
        <f t="shared" si="1"/>
        <v>1850</v>
      </c>
      <c r="K11" s="4">
        <f t="shared" si="1"/>
        <v>1950</v>
      </c>
      <c r="L11" s="4">
        <f t="shared" si="1"/>
        <v>2050</v>
      </c>
      <c r="M11" s="4">
        <f t="shared" si="1"/>
        <v>2150</v>
      </c>
      <c r="N11" s="7"/>
      <c r="O11" s="7"/>
    </row>
    <row r="12" spans="1:15" ht="12.75">
      <c r="A12" s="6" t="s">
        <v>257</v>
      </c>
      <c r="C12" s="7"/>
      <c r="D12" s="4">
        <f>Depr_Amort!F43</f>
        <v>0</v>
      </c>
      <c r="E12" s="4">
        <f>Depr_Amort!G43</f>
        <v>0</v>
      </c>
      <c r="F12" s="4">
        <f>Depr_Amort!H43</f>
        <v>0</v>
      </c>
      <c r="G12" s="4">
        <f>Depr_Amort!I43</f>
        <v>0</v>
      </c>
      <c r="H12" s="4">
        <f>Depr_Amort!J43</f>
        <v>0</v>
      </c>
      <c r="I12" s="4">
        <f>Depr_Amort!K43</f>
        <v>0</v>
      </c>
      <c r="J12" s="4">
        <f>Depr_Amort!L43</f>
        <v>0</v>
      </c>
      <c r="K12" s="4">
        <f>Depr_Amort!M43</f>
        <v>0</v>
      </c>
      <c r="L12" s="4">
        <f>Depr_Amort!N43</f>
        <v>0</v>
      </c>
      <c r="M12" s="4">
        <f>Depr_Amort!O43</f>
        <v>0</v>
      </c>
      <c r="N12" s="7"/>
      <c r="O12" s="7"/>
    </row>
    <row r="13" spans="1:15" ht="12.75">
      <c r="A13" s="6" t="s">
        <v>261</v>
      </c>
      <c r="C13" s="7"/>
      <c r="D13" s="4">
        <f>Depr_Amort!F42</f>
        <v>179.16666666666666</v>
      </c>
      <c r="E13" s="4">
        <f>Depr_Amort!G42</f>
        <v>179.16666666666666</v>
      </c>
      <c r="F13" s="4">
        <f>Depr_Amort!H42</f>
        <v>179.16666666666666</v>
      </c>
      <c r="G13" s="4">
        <f>Depr_Amort!I42</f>
        <v>179.16666666666666</v>
      </c>
      <c r="H13" s="4">
        <f>Depr_Amort!J42</f>
        <v>179.16666666666666</v>
      </c>
      <c r="I13" s="4">
        <f>Depr_Amort!K42</f>
        <v>179.16666666666666</v>
      </c>
      <c r="J13" s="4">
        <f>Depr_Amort!L42</f>
        <v>179.16666666666666</v>
      </c>
      <c r="K13" s="4">
        <f>Depr_Amort!M42</f>
        <v>179.16666666666666</v>
      </c>
      <c r="L13" s="4">
        <f>Depr_Amort!N42</f>
        <v>179.16666666666666</v>
      </c>
      <c r="M13" s="4">
        <f>Depr_Amort!O42</f>
        <v>179.16666666666666</v>
      </c>
      <c r="N13" s="7"/>
      <c r="O13" s="7"/>
    </row>
    <row r="14" spans="1:15" ht="12.75">
      <c r="A14" s="6" t="s">
        <v>263</v>
      </c>
      <c r="C14" s="7"/>
      <c r="D14" s="138">
        <v>0</v>
      </c>
      <c r="E14" s="138">
        <v>0</v>
      </c>
      <c r="F14" s="138">
        <v>0</v>
      </c>
      <c r="G14" s="138">
        <v>0</v>
      </c>
      <c r="H14" s="138">
        <v>0</v>
      </c>
      <c r="I14" s="138">
        <v>0</v>
      </c>
      <c r="J14" s="138">
        <v>0</v>
      </c>
      <c r="K14" s="138">
        <v>0</v>
      </c>
      <c r="L14" s="138">
        <v>0</v>
      </c>
      <c r="M14" s="138">
        <v>0</v>
      </c>
      <c r="N14" s="7"/>
      <c r="O14" s="7"/>
    </row>
    <row r="15" spans="1:15" ht="12.75">
      <c r="A15" s="6"/>
      <c r="C15" s="7"/>
      <c r="D15" s="4"/>
      <c r="E15" s="4"/>
      <c r="F15" s="4"/>
      <c r="G15" s="4"/>
      <c r="H15" s="4"/>
      <c r="I15" s="4"/>
      <c r="J15" s="4"/>
      <c r="K15" s="4"/>
      <c r="L15" s="4"/>
      <c r="M15" s="4"/>
      <c r="N15" s="7"/>
      <c r="O15" s="7"/>
    </row>
    <row r="16" spans="1:15" ht="12.75">
      <c r="A16" s="6" t="s">
        <v>256</v>
      </c>
      <c r="C16" s="7"/>
      <c r="D16" s="4">
        <f>Depr_Amort!F84</f>
        <v>56211.666666666664</v>
      </c>
      <c r="E16" s="4">
        <f>Depr_Amort!G84</f>
        <v>71336.66666666666</v>
      </c>
      <c r="F16" s="4">
        <f>Depr_Amort!H84</f>
        <v>80210</v>
      </c>
      <c r="G16" s="4">
        <f>Depr_Amort!I84</f>
        <v>96477.77777777778</v>
      </c>
      <c r="H16" s="4">
        <f>Depr_Amort!J84</f>
        <v>136740.5277777778</v>
      </c>
      <c r="I16" s="4">
        <f>Depr_Amort!K84</f>
        <v>147812.7840277778</v>
      </c>
      <c r="J16" s="4">
        <f>Depr_Amort!L84</f>
        <v>146737.56469444447</v>
      </c>
      <c r="K16" s="4">
        <f>Depr_Amort!M84</f>
        <v>253917.0051944446</v>
      </c>
      <c r="L16" s="4">
        <f>Depr_Amort!N84</f>
        <v>221503.81928611125</v>
      </c>
      <c r="M16" s="4">
        <f>Depr_Amort!O84</f>
        <v>120813.8992869445</v>
      </c>
      <c r="N16" s="7"/>
      <c r="O16" s="7"/>
    </row>
    <row r="17" spans="1:15" ht="12.75">
      <c r="A17" s="6" t="s">
        <v>260</v>
      </c>
      <c r="C17" s="7"/>
      <c r="D17" s="4">
        <f>D49</f>
        <v>1350</v>
      </c>
      <c r="E17" s="4">
        <f aca="true" t="shared" si="2" ref="E17:M17">E49</f>
        <v>1500</v>
      </c>
      <c r="F17" s="4">
        <f t="shared" si="2"/>
        <v>1600</v>
      </c>
      <c r="G17" s="4">
        <f t="shared" si="2"/>
        <v>1700</v>
      </c>
      <c r="H17" s="4">
        <f t="shared" si="2"/>
        <v>1750</v>
      </c>
      <c r="I17" s="4">
        <f t="shared" si="2"/>
        <v>1900</v>
      </c>
      <c r="J17" s="4">
        <f t="shared" si="2"/>
        <v>2000</v>
      </c>
      <c r="K17" s="4">
        <f t="shared" si="2"/>
        <v>2200</v>
      </c>
      <c r="L17" s="4">
        <f t="shared" si="2"/>
        <v>2300</v>
      </c>
      <c r="M17" s="4">
        <f t="shared" si="2"/>
        <v>2500</v>
      </c>
      <c r="N17" s="7"/>
      <c r="O17" s="7"/>
    </row>
    <row r="18" spans="1:15" ht="12.75">
      <c r="A18" s="6" t="s">
        <v>258</v>
      </c>
      <c r="C18" s="7"/>
      <c r="D18" s="4">
        <f>IF(goodwill_intang_deductible=1,Depr_Amort!F88,0)</f>
        <v>14098.566666666668</v>
      </c>
      <c r="E18" s="4">
        <f>IF(goodwill_intang_deductible=1,Depr_Amort!G88,0)</f>
        <v>14098.566666666668</v>
      </c>
      <c r="F18" s="4">
        <f>IF(goodwill_intang_deductible=1,Depr_Amort!H88,0)</f>
        <v>14098.566666666668</v>
      </c>
      <c r="G18" s="4">
        <f>IF(goodwill_intang_deductible=1,Depr_Amort!I88,0)</f>
        <v>14098.566666666668</v>
      </c>
      <c r="H18" s="4">
        <f>IF(goodwill_intang_deductible=1,Depr_Amort!J88,0)</f>
        <v>14098.566666666668</v>
      </c>
      <c r="I18" s="4">
        <f>IF(goodwill_intang_deductible=1,Depr_Amort!K88,0)</f>
        <v>14098.566666666668</v>
      </c>
      <c r="J18" s="4">
        <f>IF(goodwill_intang_deductible=1,Depr_Amort!L88,0)</f>
        <v>14098.566666666668</v>
      </c>
      <c r="K18" s="4">
        <f>IF(goodwill_intang_deductible=1,Depr_Amort!M88,0)</f>
        <v>14098.566666666668</v>
      </c>
      <c r="L18" s="4">
        <f>IF(goodwill_intang_deductible=1,Depr_Amort!N88,0)</f>
        <v>14098.566666666668</v>
      </c>
      <c r="M18" s="4">
        <f>IF(goodwill_intang_deductible=1,Depr_Amort!O88,0)</f>
        <v>14098.566666666668</v>
      </c>
      <c r="N18" s="7"/>
      <c r="O18" s="7"/>
    </row>
    <row r="19" spans="1:15" ht="12.75">
      <c r="A19" s="6" t="s">
        <v>262</v>
      </c>
      <c r="C19" s="7"/>
      <c r="D19" s="4">
        <f>IF(goodwill_intang_deductible=1,Depr_Amort!F87,0)</f>
        <v>143.33333333333334</v>
      </c>
      <c r="E19" s="4">
        <f>IF(goodwill_intang_deductible=1,Depr_Amort!G87,0)</f>
        <v>143.33333333333334</v>
      </c>
      <c r="F19" s="4">
        <f>IF(goodwill_intang_deductible=1,Depr_Amort!H87,0)</f>
        <v>143.33333333333334</v>
      </c>
      <c r="G19" s="4">
        <f>IF(goodwill_intang_deductible=1,Depr_Amort!I87,0)</f>
        <v>143.33333333333334</v>
      </c>
      <c r="H19" s="4">
        <f>IF(goodwill_intang_deductible=1,Depr_Amort!J87,0)</f>
        <v>143.33333333333334</v>
      </c>
      <c r="I19" s="4">
        <f>IF(goodwill_intang_deductible=1,Depr_Amort!K87,0)</f>
        <v>143.33333333333334</v>
      </c>
      <c r="J19" s="4">
        <f>IF(goodwill_intang_deductible=1,Depr_Amort!L87,0)</f>
        <v>143.33333333333334</v>
      </c>
      <c r="K19" s="4">
        <f>IF(goodwill_intang_deductible=1,Depr_Amort!M87,0)</f>
        <v>143.33333333333334</v>
      </c>
      <c r="L19" s="4">
        <f>IF(goodwill_intang_deductible=1,Depr_Amort!N87,0)</f>
        <v>143.33333333333334</v>
      </c>
      <c r="M19" s="4">
        <f>IF(goodwill_intang_deductible=1,Depr_Amort!O87,0)</f>
        <v>143.33333333333334</v>
      </c>
      <c r="N19" s="7"/>
      <c r="O19" s="7"/>
    </row>
    <row r="20" spans="3:15" ht="12.75">
      <c r="C20" s="7"/>
      <c r="D20" s="4"/>
      <c r="E20" s="4"/>
      <c r="F20" s="4"/>
      <c r="G20" s="4"/>
      <c r="H20" s="4"/>
      <c r="I20" s="4"/>
      <c r="J20" s="4"/>
      <c r="K20" s="4"/>
      <c r="L20" s="4"/>
      <c r="M20" s="4"/>
      <c r="N20" s="7"/>
      <c r="O20" s="7"/>
    </row>
    <row r="21" spans="1:15" ht="12.75">
      <c r="A21" s="6" t="s">
        <v>264</v>
      </c>
      <c r="C21" s="7"/>
      <c r="D21" s="4">
        <f aca="true" t="shared" si="3" ref="D21:M21">D8+SUM(D10:D14)-SUM(D16:D19)</f>
        <v>216582.4919064684</v>
      </c>
      <c r="E21" s="4">
        <f t="shared" si="3"/>
        <v>232533.90768737998</v>
      </c>
      <c r="F21" s="4">
        <f t="shared" si="3"/>
        <v>258854.73326164982</v>
      </c>
      <c r="G21" s="4">
        <f t="shared" si="3"/>
        <v>282140.282572885</v>
      </c>
      <c r="H21" s="4">
        <f t="shared" si="3"/>
        <v>282501.2178755855</v>
      </c>
      <c r="I21" s="4">
        <f t="shared" si="3"/>
        <v>317090.9359950675</v>
      </c>
      <c r="J21" s="4">
        <f t="shared" si="3"/>
        <v>369712.63721595745</v>
      </c>
      <c r="K21" s="4">
        <f t="shared" si="3"/>
        <v>316187.6641371327</v>
      </c>
      <c r="L21" s="4">
        <f t="shared" si="3"/>
        <v>405149.7265845003</v>
      </c>
      <c r="M21" s="4">
        <f t="shared" si="3"/>
        <v>565055.3246316825</v>
      </c>
      <c r="N21" s="7"/>
      <c r="O21" s="7"/>
    </row>
    <row r="22" spans="3:15" ht="12.75">
      <c r="C22" s="7"/>
      <c r="D22" s="4"/>
      <c r="E22" s="4"/>
      <c r="F22" s="4"/>
      <c r="G22" s="4"/>
      <c r="H22" s="4"/>
      <c r="I22" s="4"/>
      <c r="J22" s="4"/>
      <c r="K22" s="4"/>
      <c r="L22" s="4"/>
      <c r="M22" s="4"/>
      <c r="N22" s="7"/>
      <c r="O22" s="7"/>
    </row>
    <row r="23" spans="1:15" ht="12.75">
      <c r="A23" s="6" t="s">
        <v>270</v>
      </c>
      <c r="C23" s="7"/>
      <c r="D23" s="4">
        <f>MIN(MAX(0,D21),D33)</f>
        <v>15500</v>
      </c>
      <c r="E23" s="4">
        <f aca="true" t="shared" si="4" ref="E23:M23">MIN(MAX(0,E21),E33)</f>
        <v>0</v>
      </c>
      <c r="F23" s="4">
        <f t="shared" si="4"/>
        <v>0</v>
      </c>
      <c r="G23" s="4">
        <f t="shared" si="4"/>
        <v>0</v>
      </c>
      <c r="H23" s="4">
        <f t="shared" si="4"/>
        <v>0</v>
      </c>
      <c r="I23" s="4">
        <f t="shared" si="4"/>
        <v>0</v>
      </c>
      <c r="J23" s="4">
        <f t="shared" si="4"/>
        <v>0</v>
      </c>
      <c r="K23" s="4">
        <f t="shared" si="4"/>
        <v>0</v>
      </c>
      <c r="L23" s="4">
        <f t="shared" si="4"/>
        <v>0</v>
      </c>
      <c r="M23" s="4">
        <f t="shared" si="4"/>
        <v>0</v>
      </c>
      <c r="N23" s="7"/>
      <c r="O23" s="7"/>
    </row>
    <row r="24" spans="3:15" ht="12.75">
      <c r="C24" s="7"/>
      <c r="D24" s="4"/>
      <c r="E24" s="4"/>
      <c r="F24" s="4"/>
      <c r="G24" s="4"/>
      <c r="H24" s="4"/>
      <c r="I24" s="4"/>
      <c r="J24" s="4"/>
      <c r="K24" s="4"/>
      <c r="L24" s="4"/>
      <c r="M24" s="4"/>
      <c r="N24" s="7"/>
      <c r="O24" s="7"/>
    </row>
    <row r="25" spans="1:15" ht="12.75">
      <c r="A25" s="6" t="s">
        <v>265</v>
      </c>
      <c r="C25" s="7"/>
      <c r="D25" s="4">
        <f>D21-D23</f>
        <v>201082.4919064684</v>
      </c>
      <c r="E25" s="4">
        <f aca="true" t="shared" si="5" ref="E25:M25">E21-E23</f>
        <v>232533.90768737998</v>
      </c>
      <c r="F25" s="4">
        <f t="shared" si="5"/>
        <v>258854.73326164982</v>
      </c>
      <c r="G25" s="4">
        <f t="shared" si="5"/>
        <v>282140.282572885</v>
      </c>
      <c r="H25" s="4">
        <f t="shared" si="5"/>
        <v>282501.2178755855</v>
      </c>
      <c r="I25" s="4">
        <f t="shared" si="5"/>
        <v>317090.9359950675</v>
      </c>
      <c r="J25" s="4">
        <f t="shared" si="5"/>
        <v>369712.63721595745</v>
      </c>
      <c r="K25" s="4">
        <f t="shared" si="5"/>
        <v>316187.6641371327</v>
      </c>
      <c r="L25" s="4">
        <f t="shared" si="5"/>
        <v>405149.7265845003</v>
      </c>
      <c r="M25" s="4">
        <f t="shared" si="5"/>
        <v>565055.3246316825</v>
      </c>
      <c r="N25" s="7"/>
      <c r="O25" s="7"/>
    </row>
    <row r="26" spans="1:15" ht="12.75">
      <c r="A26" s="6" t="s">
        <v>266</v>
      </c>
      <c r="C26" s="7"/>
      <c r="D26" s="4">
        <f aca="true" t="shared" si="6" ref="D26:M26">MAX(0,D25)*tax_rate</f>
        <v>70378.87216726394</v>
      </c>
      <c r="E26" s="4">
        <f t="shared" si="6"/>
        <v>81386.86769058299</v>
      </c>
      <c r="F26" s="4">
        <f t="shared" si="6"/>
        <v>90599.15664157743</v>
      </c>
      <c r="G26" s="4">
        <f t="shared" si="6"/>
        <v>98749.09890050974</v>
      </c>
      <c r="H26" s="4">
        <f t="shared" si="6"/>
        <v>98875.42625645491</v>
      </c>
      <c r="I26" s="4">
        <f t="shared" si="6"/>
        <v>110981.82759827362</v>
      </c>
      <c r="J26" s="4">
        <f t="shared" si="6"/>
        <v>129399.4230255851</v>
      </c>
      <c r="K26" s="4">
        <f t="shared" si="6"/>
        <v>110665.68244799644</v>
      </c>
      <c r="L26" s="4">
        <f t="shared" si="6"/>
        <v>141802.4043045751</v>
      </c>
      <c r="M26" s="4">
        <f t="shared" si="6"/>
        <v>197769.36362108885</v>
      </c>
      <c r="N26" s="7"/>
      <c r="O26" s="7"/>
    </row>
    <row r="27" spans="1:15" ht="12.75">
      <c r="A27" s="6"/>
      <c r="C27" s="7"/>
      <c r="D27" s="4"/>
      <c r="E27" s="4"/>
      <c r="F27" s="4"/>
      <c r="G27" s="4"/>
      <c r="H27" s="4"/>
      <c r="I27" s="4"/>
      <c r="J27" s="4"/>
      <c r="K27" s="4"/>
      <c r="L27" s="4"/>
      <c r="M27" s="4"/>
      <c r="N27" s="7"/>
      <c r="O27" s="7"/>
    </row>
    <row r="28" spans="1:15" ht="12.75">
      <c r="A28" s="6" t="s">
        <v>272</v>
      </c>
      <c r="C28" s="7"/>
      <c r="D28" s="4">
        <f aca="true" t="shared" si="7" ref="D28:M28">D8*tax_rate+IF(goodwill_intang_deductible=0,D12+D13,0)*tax_rate</f>
        <v>74974.16216726393</v>
      </c>
      <c r="E28" s="4">
        <f t="shared" si="7"/>
        <v>81633.40769058297</v>
      </c>
      <c r="F28" s="4">
        <f t="shared" si="7"/>
        <v>90845.69664157742</v>
      </c>
      <c r="G28" s="4">
        <f t="shared" si="7"/>
        <v>101029.11112273195</v>
      </c>
      <c r="H28" s="4">
        <f t="shared" si="7"/>
        <v>110532.5801453438</v>
      </c>
      <c r="I28" s="4">
        <f t="shared" si="7"/>
        <v>122656.48148716253</v>
      </c>
      <c r="J28" s="4">
        <f t="shared" si="7"/>
        <v>150258.6602478073</v>
      </c>
      <c r="K28" s="4">
        <f t="shared" si="7"/>
        <v>164071.01662188538</v>
      </c>
      <c r="L28" s="4">
        <f t="shared" si="7"/>
        <v>179584.52597846402</v>
      </c>
      <c r="M28" s="4">
        <f t="shared" si="7"/>
        <v>192779.93111997776</v>
      </c>
      <c r="N28" s="7"/>
      <c r="O28" s="7"/>
    </row>
    <row r="29" spans="1:15" ht="12.75">
      <c r="A29" s="6" t="s">
        <v>288</v>
      </c>
      <c r="C29" s="7"/>
      <c r="D29" s="4"/>
      <c r="E29" s="4"/>
      <c r="F29" s="4"/>
      <c r="G29" s="4"/>
      <c r="H29" s="4"/>
      <c r="I29" s="4"/>
      <c r="J29" s="4"/>
      <c r="K29" s="4"/>
      <c r="L29" s="4"/>
      <c r="M29" s="4"/>
      <c r="N29" s="7"/>
      <c r="O29" s="7"/>
    </row>
    <row r="30" spans="1:15" ht="12.75">
      <c r="A30" s="10" t="s">
        <v>287</v>
      </c>
      <c r="C30" s="7"/>
      <c r="D30" s="4">
        <f>D28-D26</f>
        <v>4595.289999999994</v>
      </c>
      <c r="E30" s="4">
        <f aca="true" t="shared" si="8" ref="E30:M30">E28-E26</f>
        <v>246.53999999997905</v>
      </c>
      <c r="F30" s="4">
        <f t="shared" si="8"/>
        <v>246.5399999999936</v>
      </c>
      <c r="G30" s="4">
        <f t="shared" si="8"/>
        <v>2280.0122222222126</v>
      </c>
      <c r="H30" s="4">
        <f t="shared" si="8"/>
        <v>11657.15388888889</v>
      </c>
      <c r="I30" s="4">
        <f t="shared" si="8"/>
        <v>11674.653888888904</v>
      </c>
      <c r="J30" s="4">
        <f t="shared" si="8"/>
        <v>20859.237222222204</v>
      </c>
      <c r="K30" s="4">
        <f t="shared" si="8"/>
        <v>53405.33417388894</v>
      </c>
      <c r="L30" s="4">
        <f t="shared" si="8"/>
        <v>37782.121673888934</v>
      </c>
      <c r="M30" s="4">
        <f t="shared" si="8"/>
        <v>-4989.432501111092</v>
      </c>
      <c r="N30" s="7"/>
      <c r="O30" s="7"/>
    </row>
    <row r="31" spans="3:15" ht="12.75">
      <c r="C31" s="7"/>
      <c r="D31" s="4"/>
      <c r="E31" s="4"/>
      <c r="F31" s="4"/>
      <c r="G31" s="4"/>
      <c r="H31" s="4"/>
      <c r="I31" s="4"/>
      <c r="J31" s="4"/>
      <c r="K31" s="4"/>
      <c r="L31" s="4"/>
      <c r="M31" s="4"/>
      <c r="N31" s="7"/>
      <c r="O31" s="7"/>
    </row>
    <row r="32" spans="3:15" ht="12.75">
      <c r="C32" s="7"/>
      <c r="D32" s="4"/>
      <c r="E32" s="4"/>
      <c r="F32" s="4"/>
      <c r="G32" s="4"/>
      <c r="H32" s="4"/>
      <c r="I32" s="4"/>
      <c r="J32" s="4"/>
      <c r="K32" s="4"/>
      <c r="L32" s="4"/>
      <c r="M32" s="4"/>
      <c r="N32" s="7"/>
      <c r="O32" s="7"/>
    </row>
    <row r="33" spans="1:15" ht="12.75">
      <c r="A33" s="6" t="s">
        <v>267</v>
      </c>
      <c r="C33" s="7"/>
      <c r="D33" s="138">
        <v>15500</v>
      </c>
      <c r="E33" s="4">
        <f>D36</f>
        <v>0</v>
      </c>
      <c r="F33" s="4">
        <f aca="true" t="shared" si="9" ref="F33:M33">E36</f>
        <v>0</v>
      </c>
      <c r="G33" s="4">
        <f t="shared" si="9"/>
        <v>0</v>
      </c>
      <c r="H33" s="4">
        <f t="shared" si="9"/>
        <v>0</v>
      </c>
      <c r="I33" s="4">
        <f t="shared" si="9"/>
        <v>0</v>
      </c>
      <c r="J33" s="4">
        <f t="shared" si="9"/>
        <v>0</v>
      </c>
      <c r="K33" s="4">
        <f t="shared" si="9"/>
        <v>0</v>
      </c>
      <c r="L33" s="4">
        <f t="shared" si="9"/>
        <v>0</v>
      </c>
      <c r="M33" s="4">
        <f t="shared" si="9"/>
        <v>0</v>
      </c>
      <c r="N33" s="7"/>
      <c r="O33" s="7"/>
    </row>
    <row r="34" spans="1:15" ht="12.75">
      <c r="A34" s="6" t="s">
        <v>268</v>
      </c>
      <c r="C34" s="7"/>
      <c r="D34" s="4">
        <f>MIN(0,D21)</f>
        <v>0</v>
      </c>
      <c r="E34" s="4">
        <f aca="true" t="shared" si="10" ref="E34:M34">MIN(0,E21)</f>
        <v>0</v>
      </c>
      <c r="F34" s="4">
        <f t="shared" si="10"/>
        <v>0</v>
      </c>
      <c r="G34" s="4">
        <f t="shared" si="10"/>
        <v>0</v>
      </c>
      <c r="H34" s="4">
        <f t="shared" si="10"/>
        <v>0</v>
      </c>
      <c r="I34" s="4">
        <f t="shared" si="10"/>
        <v>0</v>
      </c>
      <c r="J34" s="4">
        <f t="shared" si="10"/>
        <v>0</v>
      </c>
      <c r="K34" s="4">
        <f t="shared" si="10"/>
        <v>0</v>
      </c>
      <c r="L34" s="4">
        <f t="shared" si="10"/>
        <v>0</v>
      </c>
      <c r="M34" s="4">
        <f t="shared" si="10"/>
        <v>0</v>
      </c>
      <c r="N34" s="7"/>
      <c r="O34" s="7"/>
    </row>
    <row r="35" spans="1:15" ht="12.75">
      <c r="A35" s="6" t="s">
        <v>269</v>
      </c>
      <c r="C35" s="7"/>
      <c r="D35" s="4">
        <f>D23</f>
        <v>15500</v>
      </c>
      <c r="E35" s="4">
        <f aca="true" t="shared" si="11" ref="E35:M35">E23</f>
        <v>0</v>
      </c>
      <c r="F35" s="4">
        <f t="shared" si="11"/>
        <v>0</v>
      </c>
      <c r="G35" s="4">
        <f t="shared" si="11"/>
        <v>0</v>
      </c>
      <c r="H35" s="4">
        <f t="shared" si="11"/>
        <v>0</v>
      </c>
      <c r="I35" s="4">
        <f t="shared" si="11"/>
        <v>0</v>
      </c>
      <c r="J35" s="4">
        <f t="shared" si="11"/>
        <v>0</v>
      </c>
      <c r="K35" s="4">
        <f t="shared" si="11"/>
        <v>0</v>
      </c>
      <c r="L35" s="4">
        <f t="shared" si="11"/>
        <v>0</v>
      </c>
      <c r="M35" s="4">
        <f t="shared" si="11"/>
        <v>0</v>
      </c>
      <c r="N35" s="7"/>
      <c r="O35" s="7"/>
    </row>
    <row r="36" spans="1:15" ht="12.75">
      <c r="A36" s="6" t="s">
        <v>271</v>
      </c>
      <c r="C36" s="7"/>
      <c r="D36" s="4">
        <f>D33+D34-D35</f>
        <v>0</v>
      </c>
      <c r="E36" s="4">
        <f aca="true" t="shared" si="12" ref="E36:M36">E33+E34-E35</f>
        <v>0</v>
      </c>
      <c r="F36" s="4">
        <f t="shared" si="12"/>
        <v>0</v>
      </c>
      <c r="G36" s="4">
        <f t="shared" si="12"/>
        <v>0</v>
      </c>
      <c r="H36" s="4">
        <f t="shared" si="12"/>
        <v>0</v>
      </c>
      <c r="I36" s="4">
        <f t="shared" si="12"/>
        <v>0</v>
      </c>
      <c r="J36" s="4">
        <f t="shared" si="12"/>
        <v>0</v>
      </c>
      <c r="K36" s="4">
        <f t="shared" si="12"/>
        <v>0</v>
      </c>
      <c r="L36" s="4">
        <f t="shared" si="12"/>
        <v>0</v>
      </c>
      <c r="M36" s="4">
        <f t="shared" si="12"/>
        <v>0</v>
      </c>
      <c r="N36" s="7"/>
      <c r="O36" s="7"/>
    </row>
    <row r="37" spans="1:15" ht="12.75">
      <c r="A37" s="6"/>
      <c r="C37" s="7"/>
      <c r="D37" s="4"/>
      <c r="E37" s="4"/>
      <c r="F37" s="4"/>
      <c r="G37" s="4"/>
      <c r="H37" s="4"/>
      <c r="I37" s="4"/>
      <c r="J37" s="4"/>
      <c r="K37" s="4"/>
      <c r="L37" s="4"/>
      <c r="M37" s="4"/>
      <c r="N37" s="7"/>
      <c r="O37" s="7"/>
    </row>
    <row r="38" spans="1:15" ht="12.75">
      <c r="A38" s="6"/>
      <c r="C38" s="7"/>
      <c r="D38" s="4"/>
      <c r="E38" s="4"/>
      <c r="F38" s="4"/>
      <c r="G38" s="4"/>
      <c r="H38" s="4"/>
      <c r="I38" s="4"/>
      <c r="J38" s="4"/>
      <c r="K38" s="4"/>
      <c r="L38" s="4"/>
      <c r="M38" s="4"/>
      <c r="N38" s="7"/>
      <c r="O38" s="7"/>
    </row>
    <row r="39" spans="3:15" ht="12.75">
      <c r="C39" s="7"/>
      <c r="D39" s="4"/>
      <c r="E39" s="4"/>
      <c r="F39" s="4"/>
      <c r="G39" s="4"/>
      <c r="H39" s="4"/>
      <c r="I39" s="4"/>
      <c r="J39" s="4"/>
      <c r="K39" s="4"/>
      <c r="L39" s="4"/>
      <c r="M39" s="4"/>
      <c r="N39" s="7"/>
      <c r="O39" s="7"/>
    </row>
    <row r="40" spans="3:15" ht="12.75">
      <c r="C40" s="7"/>
      <c r="D40" s="4"/>
      <c r="E40" s="4"/>
      <c r="F40" s="4"/>
      <c r="G40" s="4"/>
      <c r="H40" s="4"/>
      <c r="I40" s="4"/>
      <c r="J40" s="4"/>
      <c r="K40" s="4"/>
      <c r="L40" s="4"/>
      <c r="M40" s="4"/>
      <c r="N40" s="7"/>
      <c r="O40" s="7"/>
    </row>
    <row r="41" spans="1:15" ht="12.75">
      <c r="A41" s="167" t="s">
        <v>247</v>
      </c>
      <c r="C41" s="7"/>
      <c r="D41" s="4"/>
      <c r="E41" s="4"/>
      <c r="F41" s="4"/>
      <c r="G41" s="4"/>
      <c r="H41" s="4"/>
      <c r="I41" s="4"/>
      <c r="J41" s="4"/>
      <c r="K41" s="4"/>
      <c r="L41" s="4"/>
      <c r="M41" s="4"/>
      <c r="N41" s="7"/>
      <c r="O41" s="7"/>
    </row>
    <row r="42" spans="3:15" ht="12.75">
      <c r="C42" s="7"/>
      <c r="D42" s="4"/>
      <c r="E42" s="4"/>
      <c r="F42" s="4"/>
      <c r="G42" s="4"/>
      <c r="H42" s="4"/>
      <c r="I42" s="4"/>
      <c r="J42" s="4"/>
      <c r="K42" s="4"/>
      <c r="L42" s="4"/>
      <c r="M42" s="4"/>
      <c r="N42" s="7"/>
      <c r="O42" s="7"/>
    </row>
    <row r="43" spans="1:15" ht="12.75">
      <c r="A43" s="6" t="s">
        <v>248</v>
      </c>
      <c r="C43" s="7"/>
      <c r="D43" s="138">
        <v>4000</v>
      </c>
      <c r="E43" s="138">
        <v>4500</v>
      </c>
      <c r="F43" s="138">
        <v>5000</v>
      </c>
      <c r="G43" s="138">
        <v>5500</v>
      </c>
      <c r="H43" s="138">
        <v>6000</v>
      </c>
      <c r="I43" s="138">
        <v>6500</v>
      </c>
      <c r="J43" s="138">
        <v>7000</v>
      </c>
      <c r="K43" s="138">
        <v>7500</v>
      </c>
      <c r="L43" s="138">
        <v>8000</v>
      </c>
      <c r="M43" s="138">
        <v>8500</v>
      </c>
      <c r="N43" s="7"/>
      <c r="O43" s="7"/>
    </row>
    <row r="44" spans="3:15" ht="12.75">
      <c r="C44" s="7"/>
      <c r="D44" s="4"/>
      <c r="E44" s="4"/>
      <c r="F44" s="4"/>
      <c r="G44" s="4"/>
      <c r="H44" s="4"/>
      <c r="I44" s="4"/>
      <c r="J44" s="4"/>
      <c r="K44" s="4"/>
      <c r="L44" s="4"/>
      <c r="M44" s="4"/>
      <c r="N44" s="7"/>
      <c r="O44" s="7"/>
    </row>
    <row r="45" spans="1:15" ht="12.75">
      <c r="A45" s="6" t="s">
        <v>249</v>
      </c>
      <c r="C45" s="7"/>
      <c r="D45" s="4">
        <f>SUM(D53:D54)</f>
        <v>2750</v>
      </c>
      <c r="E45" s="4">
        <f aca="true" t="shared" si="13" ref="E45:M45">SUM(E53:E54)</f>
        <v>3150</v>
      </c>
      <c r="F45" s="4">
        <f t="shared" si="13"/>
        <v>3550</v>
      </c>
      <c r="G45" s="4">
        <f t="shared" si="13"/>
        <v>3950</v>
      </c>
      <c r="H45" s="4">
        <f t="shared" si="13"/>
        <v>4350</v>
      </c>
      <c r="I45" s="4">
        <f t="shared" si="13"/>
        <v>4750</v>
      </c>
      <c r="J45" s="4">
        <f t="shared" si="13"/>
        <v>5150</v>
      </c>
      <c r="K45" s="4">
        <f t="shared" si="13"/>
        <v>5550</v>
      </c>
      <c r="L45" s="4">
        <f t="shared" si="13"/>
        <v>5950</v>
      </c>
      <c r="M45" s="4">
        <f t="shared" si="13"/>
        <v>6350</v>
      </c>
      <c r="N45" s="7"/>
      <c r="O45" s="7"/>
    </row>
    <row r="46" spans="1:15" ht="12.75">
      <c r="A46" s="6" t="s">
        <v>250</v>
      </c>
      <c r="C46" s="7"/>
      <c r="D46" s="138">
        <v>2650</v>
      </c>
      <c r="E46" s="138">
        <v>3000</v>
      </c>
      <c r="F46" s="138">
        <v>3400</v>
      </c>
      <c r="G46" s="138">
        <v>3800</v>
      </c>
      <c r="H46" s="138">
        <v>4250</v>
      </c>
      <c r="I46" s="138">
        <v>4600</v>
      </c>
      <c r="J46" s="138">
        <v>5000</v>
      </c>
      <c r="K46" s="138">
        <v>5300</v>
      </c>
      <c r="L46" s="138">
        <v>5700</v>
      </c>
      <c r="M46" s="138">
        <v>6000</v>
      </c>
      <c r="N46" s="7"/>
      <c r="O46" s="7"/>
    </row>
    <row r="47" spans="3:15" ht="12.75">
      <c r="C47" s="7"/>
      <c r="D47" s="4"/>
      <c r="E47" s="4"/>
      <c r="F47" s="4"/>
      <c r="G47" s="4"/>
      <c r="H47" s="4"/>
      <c r="I47" s="4"/>
      <c r="J47" s="4"/>
      <c r="K47" s="4"/>
      <c r="L47" s="4"/>
      <c r="M47" s="4"/>
      <c r="N47" s="7"/>
      <c r="O47" s="7"/>
    </row>
    <row r="48" spans="1:15" ht="12.75">
      <c r="A48" s="6" t="s">
        <v>251</v>
      </c>
      <c r="C48" s="7"/>
      <c r="D48" s="4">
        <f>D43-D45</f>
        <v>1250</v>
      </c>
      <c r="E48" s="4">
        <f aca="true" t="shared" si="14" ref="E48:M48">E43-E45</f>
        <v>1350</v>
      </c>
      <c r="F48" s="4">
        <f t="shared" si="14"/>
        <v>1450</v>
      </c>
      <c r="G48" s="4">
        <f t="shared" si="14"/>
        <v>1550</v>
      </c>
      <c r="H48" s="4">
        <f t="shared" si="14"/>
        <v>1650</v>
      </c>
      <c r="I48" s="4">
        <f t="shared" si="14"/>
        <v>1750</v>
      </c>
      <c r="J48" s="4">
        <f t="shared" si="14"/>
        <v>1850</v>
      </c>
      <c r="K48" s="4">
        <f t="shared" si="14"/>
        <v>1950</v>
      </c>
      <c r="L48" s="4">
        <f t="shared" si="14"/>
        <v>2050</v>
      </c>
      <c r="M48" s="4">
        <f t="shared" si="14"/>
        <v>2150</v>
      </c>
      <c r="N48" s="7"/>
      <c r="O48" s="7"/>
    </row>
    <row r="49" spans="1:15" ht="12.75">
      <c r="A49" s="6" t="s">
        <v>252</v>
      </c>
      <c r="C49" s="7"/>
      <c r="D49" s="4">
        <f>D43-D46</f>
        <v>1350</v>
      </c>
      <c r="E49" s="4">
        <f aca="true" t="shared" si="15" ref="E49:M49">E43-E46</f>
        <v>1500</v>
      </c>
      <c r="F49" s="4">
        <f t="shared" si="15"/>
        <v>1600</v>
      </c>
      <c r="G49" s="4">
        <f t="shared" si="15"/>
        <v>1700</v>
      </c>
      <c r="H49" s="4">
        <f t="shared" si="15"/>
        <v>1750</v>
      </c>
      <c r="I49" s="4">
        <f t="shared" si="15"/>
        <v>1900</v>
      </c>
      <c r="J49" s="4">
        <f t="shared" si="15"/>
        <v>2000</v>
      </c>
      <c r="K49" s="4">
        <f t="shared" si="15"/>
        <v>2200</v>
      </c>
      <c r="L49" s="4">
        <f t="shared" si="15"/>
        <v>2300</v>
      </c>
      <c r="M49" s="4">
        <f t="shared" si="15"/>
        <v>2500</v>
      </c>
      <c r="N49" s="7"/>
      <c r="O49" s="7"/>
    </row>
    <row r="50" spans="3:15" ht="12.75">
      <c r="C50" s="7"/>
      <c r="D50" s="4"/>
      <c r="E50" s="4"/>
      <c r="F50" s="4"/>
      <c r="G50" s="4"/>
      <c r="H50" s="4"/>
      <c r="I50" s="4"/>
      <c r="J50" s="4"/>
      <c r="K50" s="4"/>
      <c r="L50" s="4"/>
      <c r="M50" s="4"/>
      <c r="N50" s="7"/>
      <c r="O50" s="7"/>
    </row>
    <row r="51" spans="3:15" ht="7.5" customHeight="1">
      <c r="C51" s="7"/>
      <c r="D51" s="4"/>
      <c r="E51" s="4"/>
      <c r="F51" s="4"/>
      <c r="G51" s="4"/>
      <c r="H51" s="4"/>
      <c r="I51" s="4"/>
      <c r="J51" s="4"/>
      <c r="K51" s="4"/>
      <c r="L51" s="4"/>
      <c r="M51" s="4"/>
      <c r="N51" s="7"/>
      <c r="O51" s="7"/>
    </row>
    <row r="52" spans="1:15" ht="12.75">
      <c r="A52" s="168" t="s">
        <v>253</v>
      </c>
      <c r="C52" s="7"/>
      <c r="D52" s="4"/>
      <c r="E52" s="4"/>
      <c r="F52" s="4"/>
      <c r="G52" s="4"/>
      <c r="H52" s="4"/>
      <c r="I52" s="4"/>
      <c r="J52" s="4"/>
      <c r="K52" s="4"/>
      <c r="L52" s="4"/>
      <c r="M52" s="4"/>
      <c r="N52" s="7"/>
      <c r="O52" s="7"/>
    </row>
    <row r="53" spans="1:15" ht="12.75">
      <c r="A53" s="6" t="str">
        <f>Bal_Sheet!A23</f>
        <v>PP&amp;E:</v>
      </c>
      <c r="C53" s="7"/>
      <c r="D53" s="138">
        <v>1500</v>
      </c>
      <c r="E53" s="138">
        <v>1700</v>
      </c>
      <c r="F53" s="138">
        <v>1900</v>
      </c>
      <c r="G53" s="138">
        <v>2100</v>
      </c>
      <c r="H53" s="138">
        <v>2300</v>
      </c>
      <c r="I53" s="138">
        <v>2500</v>
      </c>
      <c r="J53" s="138">
        <v>2700</v>
      </c>
      <c r="K53" s="138">
        <v>2900</v>
      </c>
      <c r="L53" s="138">
        <v>3100</v>
      </c>
      <c r="M53" s="138">
        <v>3300</v>
      </c>
      <c r="N53" s="7"/>
      <c r="O53" s="7"/>
    </row>
    <row r="54" spans="1:15" ht="12.75">
      <c r="A54" s="6" t="str">
        <f>Bal_Sheet!A22</f>
        <v>Other Long-Term Assets</v>
      </c>
      <c r="C54" s="7"/>
      <c r="D54" s="138">
        <v>1250</v>
      </c>
      <c r="E54" s="138">
        <v>1450</v>
      </c>
      <c r="F54" s="138">
        <v>1650</v>
      </c>
      <c r="G54" s="138">
        <v>1850</v>
      </c>
      <c r="H54" s="138">
        <v>2050</v>
      </c>
      <c r="I54" s="138">
        <v>2250</v>
      </c>
      <c r="J54" s="138">
        <v>2450</v>
      </c>
      <c r="K54" s="138">
        <v>2650</v>
      </c>
      <c r="L54" s="138">
        <v>2850</v>
      </c>
      <c r="M54" s="138">
        <v>3050</v>
      </c>
      <c r="N54" s="7"/>
      <c r="O54" s="7"/>
    </row>
    <row r="55" spans="3:15" ht="12.75">
      <c r="C55" s="7"/>
      <c r="D55" s="4"/>
      <c r="E55" s="4"/>
      <c r="F55" s="4"/>
      <c r="G55" s="4"/>
      <c r="H55" s="4"/>
      <c r="I55" s="4"/>
      <c r="J55" s="4"/>
      <c r="K55" s="4"/>
      <c r="L55" s="4"/>
      <c r="M55" s="4"/>
      <c r="N55" s="7"/>
      <c r="O55" s="7"/>
    </row>
    <row r="56" spans="3:15" ht="12.75">
      <c r="C56" s="7"/>
      <c r="D56" s="4"/>
      <c r="E56" s="4"/>
      <c r="F56" s="4"/>
      <c r="G56" s="4"/>
      <c r="H56" s="4"/>
      <c r="I56" s="4"/>
      <c r="J56" s="4"/>
      <c r="K56" s="4"/>
      <c r="L56" s="4"/>
      <c r="M56" s="4"/>
      <c r="N56" s="7"/>
      <c r="O56" s="7"/>
    </row>
    <row r="57" spans="3:15" ht="12.75">
      <c r="C57" s="7"/>
      <c r="D57" s="4"/>
      <c r="E57" s="4"/>
      <c r="F57" s="4"/>
      <c r="G57" s="4"/>
      <c r="H57" s="4"/>
      <c r="I57" s="4"/>
      <c r="J57" s="4"/>
      <c r="K57" s="4"/>
      <c r="L57" s="4"/>
      <c r="M57" s="4"/>
      <c r="N57" s="7"/>
      <c r="O57" s="7"/>
    </row>
    <row r="58" spans="3:15" ht="12.75">
      <c r="C58" s="7"/>
      <c r="D58" s="4"/>
      <c r="E58" s="4"/>
      <c r="F58" s="4"/>
      <c r="G58" s="4"/>
      <c r="H58" s="4"/>
      <c r="I58" s="4"/>
      <c r="J58" s="4"/>
      <c r="K58" s="4"/>
      <c r="L58" s="4"/>
      <c r="M58" s="4"/>
      <c r="N58" s="7"/>
      <c r="O58" s="7"/>
    </row>
    <row r="59" spans="3:15" ht="12.75">
      <c r="C59" s="7"/>
      <c r="D59" s="4"/>
      <c r="E59" s="4"/>
      <c r="F59" s="4"/>
      <c r="G59" s="4"/>
      <c r="H59" s="4"/>
      <c r="I59" s="4"/>
      <c r="J59" s="4"/>
      <c r="K59" s="4"/>
      <c r="L59" s="4"/>
      <c r="M59" s="4"/>
      <c r="N59" s="7"/>
      <c r="O59" s="7"/>
    </row>
    <row r="60" spans="3:15" ht="12.75">
      <c r="C60" s="7"/>
      <c r="D60" s="4"/>
      <c r="E60" s="4"/>
      <c r="F60" s="4"/>
      <c r="G60" s="4"/>
      <c r="H60" s="4"/>
      <c r="I60" s="4"/>
      <c r="J60" s="4"/>
      <c r="K60" s="4"/>
      <c r="L60" s="4"/>
      <c r="M60" s="4"/>
      <c r="N60" s="7"/>
      <c r="O60" s="7"/>
    </row>
    <row r="61" spans="3:15" ht="12.75">
      <c r="C61" s="7"/>
      <c r="D61" s="4"/>
      <c r="E61" s="4"/>
      <c r="F61" s="4"/>
      <c r="G61" s="4"/>
      <c r="H61" s="4"/>
      <c r="I61" s="4"/>
      <c r="J61" s="4"/>
      <c r="K61" s="4"/>
      <c r="L61" s="4"/>
      <c r="M61" s="4"/>
      <c r="N61" s="7"/>
      <c r="O61" s="7"/>
    </row>
    <row r="62" spans="3:15" ht="12.75">
      <c r="C62" s="7"/>
      <c r="D62" s="4"/>
      <c r="E62" s="4"/>
      <c r="F62" s="4"/>
      <c r="G62" s="4"/>
      <c r="H62" s="4"/>
      <c r="I62" s="4"/>
      <c r="J62" s="4"/>
      <c r="K62" s="4"/>
      <c r="L62" s="4"/>
      <c r="M62" s="4"/>
      <c r="N62" s="7"/>
      <c r="O62" s="7"/>
    </row>
    <row r="63" spans="3:15" ht="12.75">
      <c r="C63" s="7"/>
      <c r="D63" s="4"/>
      <c r="E63" s="4"/>
      <c r="F63" s="4"/>
      <c r="G63" s="4"/>
      <c r="H63" s="4"/>
      <c r="I63" s="4"/>
      <c r="J63" s="4"/>
      <c r="K63" s="4"/>
      <c r="L63" s="4"/>
      <c r="M63" s="4"/>
      <c r="N63" s="7"/>
      <c r="O63" s="7"/>
    </row>
    <row r="64" spans="3:15" ht="12.75">
      <c r="C64" s="7"/>
      <c r="D64" s="4"/>
      <c r="E64" s="4"/>
      <c r="F64" s="4"/>
      <c r="G64" s="4"/>
      <c r="H64" s="4"/>
      <c r="I64" s="4"/>
      <c r="J64" s="4"/>
      <c r="K64" s="4"/>
      <c r="L64" s="4"/>
      <c r="M64" s="4"/>
      <c r="N64" s="7"/>
      <c r="O64" s="7"/>
    </row>
    <row r="65" spans="3:15" ht="12.75">
      <c r="C65" s="7"/>
      <c r="D65" s="4"/>
      <c r="E65" s="4"/>
      <c r="F65" s="4"/>
      <c r="G65" s="4"/>
      <c r="H65" s="4"/>
      <c r="I65" s="4"/>
      <c r="J65" s="4"/>
      <c r="K65" s="4"/>
      <c r="L65" s="4"/>
      <c r="M65" s="4"/>
      <c r="N65" s="7"/>
      <c r="O65" s="7"/>
    </row>
    <row r="66" spans="3:15" ht="12.75">
      <c r="C66" s="7"/>
      <c r="D66" s="4"/>
      <c r="E66" s="4"/>
      <c r="F66" s="4"/>
      <c r="G66" s="4"/>
      <c r="H66" s="4"/>
      <c r="I66" s="4"/>
      <c r="J66" s="4"/>
      <c r="K66" s="4"/>
      <c r="L66" s="4"/>
      <c r="M66" s="4"/>
      <c r="N66" s="7"/>
      <c r="O66" s="7"/>
    </row>
    <row r="67" spans="3:15" ht="12.75">
      <c r="C67" s="7"/>
      <c r="D67" s="4"/>
      <c r="E67" s="4"/>
      <c r="F67" s="4"/>
      <c r="G67" s="4"/>
      <c r="H67" s="4"/>
      <c r="I67" s="4"/>
      <c r="J67" s="4"/>
      <c r="K67" s="4"/>
      <c r="L67" s="4"/>
      <c r="M67" s="4"/>
      <c r="N67" s="7"/>
      <c r="O67" s="7"/>
    </row>
    <row r="68" spans="3:15" ht="12.75">
      <c r="C68" s="7"/>
      <c r="D68" s="4"/>
      <c r="E68" s="4"/>
      <c r="F68" s="4"/>
      <c r="G68" s="4"/>
      <c r="H68" s="4"/>
      <c r="I68" s="4"/>
      <c r="J68" s="4"/>
      <c r="K68" s="4"/>
      <c r="L68" s="4"/>
      <c r="M68" s="4"/>
      <c r="N68" s="7"/>
      <c r="O68" s="7"/>
    </row>
    <row r="69" spans="3:15" ht="12.75">
      <c r="C69" s="7"/>
      <c r="D69" s="4"/>
      <c r="E69" s="4"/>
      <c r="F69" s="4"/>
      <c r="G69" s="4"/>
      <c r="H69" s="4"/>
      <c r="I69" s="4"/>
      <c r="J69" s="4"/>
      <c r="K69" s="4"/>
      <c r="L69" s="4"/>
      <c r="M69" s="4"/>
      <c r="N69" s="7"/>
      <c r="O69" s="7"/>
    </row>
    <row r="70" spans="3:15" ht="12.75">
      <c r="C70" s="7"/>
      <c r="D70" s="4"/>
      <c r="E70" s="4"/>
      <c r="F70" s="4"/>
      <c r="G70" s="4"/>
      <c r="H70" s="4"/>
      <c r="I70" s="4"/>
      <c r="J70" s="4"/>
      <c r="K70" s="4"/>
      <c r="L70" s="4"/>
      <c r="M70" s="4"/>
      <c r="N70" s="7"/>
      <c r="O70" s="7"/>
    </row>
    <row r="71" spans="3:15" ht="12.75">
      <c r="C71" s="7"/>
      <c r="D71" s="4"/>
      <c r="E71" s="4"/>
      <c r="F71" s="4"/>
      <c r="G71" s="4"/>
      <c r="H71" s="4"/>
      <c r="I71" s="4"/>
      <c r="J71" s="4"/>
      <c r="K71" s="4"/>
      <c r="L71" s="4"/>
      <c r="M71" s="4"/>
      <c r="N71" s="7"/>
      <c r="O71" s="7"/>
    </row>
    <row r="72" spans="3:15" ht="12.75">
      <c r="C72" s="7"/>
      <c r="D72" s="4"/>
      <c r="E72" s="4"/>
      <c r="F72" s="4"/>
      <c r="G72" s="4"/>
      <c r="H72" s="4"/>
      <c r="I72" s="4"/>
      <c r="J72" s="4"/>
      <c r="K72" s="4"/>
      <c r="L72" s="4"/>
      <c r="M72" s="4"/>
      <c r="N72" s="7"/>
      <c r="O72" s="7"/>
    </row>
    <row r="73" spans="3:15" ht="12.75">
      <c r="C73" s="7"/>
      <c r="D73" s="4"/>
      <c r="E73" s="4"/>
      <c r="F73" s="4"/>
      <c r="G73" s="4"/>
      <c r="H73" s="4"/>
      <c r="I73" s="4"/>
      <c r="J73" s="4"/>
      <c r="K73" s="4"/>
      <c r="L73" s="4"/>
      <c r="M73" s="4"/>
      <c r="N73" s="7"/>
      <c r="O73" s="7"/>
    </row>
    <row r="74" spans="3:15" ht="12.75">
      <c r="C74" s="7"/>
      <c r="D74" s="4"/>
      <c r="E74" s="4"/>
      <c r="F74" s="4"/>
      <c r="G74" s="4"/>
      <c r="H74" s="4"/>
      <c r="I74" s="4"/>
      <c r="J74" s="4"/>
      <c r="K74" s="4"/>
      <c r="L74" s="4"/>
      <c r="M74" s="4"/>
      <c r="N74" s="7"/>
      <c r="O74" s="7"/>
    </row>
    <row r="75" spans="3:15" ht="12.75">
      <c r="C75" s="7"/>
      <c r="D75" s="4"/>
      <c r="E75" s="4"/>
      <c r="F75" s="4"/>
      <c r="G75" s="4"/>
      <c r="H75" s="4"/>
      <c r="I75" s="4"/>
      <c r="J75" s="4"/>
      <c r="K75" s="4"/>
      <c r="L75" s="4"/>
      <c r="M75" s="4"/>
      <c r="N75" s="7"/>
      <c r="O75" s="7"/>
    </row>
    <row r="76" spans="3:15" ht="12.75">
      <c r="C76" s="7"/>
      <c r="D76" s="4"/>
      <c r="E76" s="4"/>
      <c r="F76" s="4"/>
      <c r="G76" s="4"/>
      <c r="H76" s="4"/>
      <c r="I76" s="4"/>
      <c r="J76" s="4"/>
      <c r="K76" s="4"/>
      <c r="L76" s="4"/>
      <c r="M76" s="4"/>
      <c r="N76" s="7"/>
      <c r="O76" s="7"/>
    </row>
    <row r="77" spans="3:15" ht="12.75">
      <c r="C77" s="7"/>
      <c r="D77" s="4"/>
      <c r="E77" s="4"/>
      <c r="F77" s="4"/>
      <c r="G77" s="4"/>
      <c r="H77" s="4"/>
      <c r="I77" s="4"/>
      <c r="J77" s="4"/>
      <c r="K77" s="4"/>
      <c r="L77" s="4"/>
      <c r="M77" s="4"/>
      <c r="N77" s="7"/>
      <c r="O77" s="7"/>
    </row>
    <row r="78" spans="3:15" ht="12.75">
      <c r="C78" s="7"/>
      <c r="D78" s="4"/>
      <c r="E78" s="4"/>
      <c r="F78" s="4"/>
      <c r="G78" s="4"/>
      <c r="H78" s="4"/>
      <c r="I78" s="4"/>
      <c r="J78" s="4"/>
      <c r="K78" s="4"/>
      <c r="L78" s="4"/>
      <c r="M78" s="4"/>
      <c r="N78" s="7"/>
      <c r="O78" s="7"/>
    </row>
    <row r="79" spans="3:15" ht="12.75">
      <c r="C79" s="7"/>
      <c r="D79" s="4"/>
      <c r="E79" s="4"/>
      <c r="F79" s="4"/>
      <c r="G79" s="4"/>
      <c r="H79" s="4"/>
      <c r="I79" s="4"/>
      <c r="J79" s="4"/>
      <c r="K79" s="4"/>
      <c r="L79" s="4"/>
      <c r="M79" s="4"/>
      <c r="N79" s="7"/>
      <c r="O79" s="7"/>
    </row>
    <row r="80" spans="3:15" ht="12.75">
      <c r="C80" s="7"/>
      <c r="D80" s="4"/>
      <c r="E80" s="4"/>
      <c r="F80" s="4"/>
      <c r="G80" s="4"/>
      <c r="H80" s="4"/>
      <c r="I80" s="4"/>
      <c r="J80" s="4"/>
      <c r="K80" s="4"/>
      <c r="L80" s="4"/>
      <c r="M80" s="4"/>
      <c r="N80" s="7"/>
      <c r="O80" s="7"/>
    </row>
    <row r="81" spans="3:15" ht="12.75">
      <c r="C81" s="7"/>
      <c r="D81" s="4"/>
      <c r="E81" s="4"/>
      <c r="F81" s="4"/>
      <c r="G81" s="4"/>
      <c r="H81" s="4"/>
      <c r="I81" s="4"/>
      <c r="J81" s="4"/>
      <c r="K81" s="4"/>
      <c r="L81" s="4"/>
      <c r="M81" s="4"/>
      <c r="N81" s="7"/>
      <c r="O81" s="7"/>
    </row>
    <row r="82" spans="3:15" ht="12.75">
      <c r="C82" s="7"/>
      <c r="D82" s="4"/>
      <c r="E82" s="4"/>
      <c r="F82" s="4"/>
      <c r="G82" s="4"/>
      <c r="H82" s="4"/>
      <c r="I82" s="4"/>
      <c r="J82" s="4"/>
      <c r="K82" s="4"/>
      <c r="L82" s="4"/>
      <c r="M82" s="4"/>
      <c r="N82" s="7"/>
      <c r="O82" s="7"/>
    </row>
    <row r="83" spans="3:15" ht="12.75">
      <c r="C83" s="7"/>
      <c r="D83" s="4"/>
      <c r="E83" s="4"/>
      <c r="F83" s="4"/>
      <c r="G83" s="4"/>
      <c r="H83" s="4"/>
      <c r="I83" s="4"/>
      <c r="J83" s="4"/>
      <c r="K83" s="4"/>
      <c r="L83" s="4"/>
      <c r="M83" s="4"/>
      <c r="N83" s="7"/>
      <c r="O83" s="7"/>
    </row>
    <row r="84" spans="3:15" ht="12.75">
      <c r="C84" s="7"/>
      <c r="D84" s="4"/>
      <c r="E84" s="4"/>
      <c r="F84" s="4"/>
      <c r="G84" s="4"/>
      <c r="H84" s="4"/>
      <c r="I84" s="4"/>
      <c r="J84" s="4"/>
      <c r="K84" s="4"/>
      <c r="L84" s="4"/>
      <c r="M84" s="4"/>
      <c r="N84" s="7"/>
      <c r="O84" s="7"/>
    </row>
    <row r="85" spans="3:15" ht="12.75">
      <c r="C85" s="7"/>
      <c r="D85" s="4"/>
      <c r="E85" s="4"/>
      <c r="F85" s="4"/>
      <c r="G85" s="4"/>
      <c r="H85" s="4"/>
      <c r="I85" s="4"/>
      <c r="J85" s="4"/>
      <c r="K85" s="4"/>
      <c r="L85" s="4"/>
      <c r="M85" s="4"/>
      <c r="N85" s="7"/>
      <c r="O85" s="7"/>
    </row>
    <row r="86" spans="3:15" ht="12.75">
      <c r="C86" s="7"/>
      <c r="D86" s="4"/>
      <c r="E86" s="4"/>
      <c r="F86" s="4"/>
      <c r="G86" s="4"/>
      <c r="H86" s="4"/>
      <c r="I86" s="4"/>
      <c r="J86" s="4"/>
      <c r="K86" s="4"/>
      <c r="L86" s="4"/>
      <c r="M86" s="4"/>
      <c r="N86" s="7"/>
      <c r="O86" s="7"/>
    </row>
    <row r="87" spans="3:15" ht="12.75">
      <c r="C87" s="7"/>
      <c r="D87" s="4"/>
      <c r="E87" s="4"/>
      <c r="F87" s="4"/>
      <c r="G87" s="4"/>
      <c r="H87" s="4"/>
      <c r="I87" s="4"/>
      <c r="J87" s="4"/>
      <c r="K87" s="4"/>
      <c r="L87" s="4"/>
      <c r="M87" s="4"/>
      <c r="N87" s="7"/>
      <c r="O87" s="7"/>
    </row>
    <row r="88" spans="4:15" ht="12.75">
      <c r="D88" s="4"/>
      <c r="E88" s="4"/>
      <c r="F88" s="4"/>
      <c r="G88" s="4"/>
      <c r="H88" s="4"/>
      <c r="I88" s="4"/>
      <c r="J88" s="4"/>
      <c r="K88" s="4"/>
      <c r="L88" s="4"/>
      <c r="M88" s="4"/>
      <c r="N88" s="7"/>
      <c r="O88" s="7"/>
    </row>
    <row r="89" spans="4:15" ht="12.75">
      <c r="D89" s="4"/>
      <c r="E89" s="4"/>
      <c r="F89" s="4"/>
      <c r="G89" s="4"/>
      <c r="H89" s="4"/>
      <c r="I89" s="4"/>
      <c r="J89" s="4"/>
      <c r="K89" s="4"/>
      <c r="L89" s="4"/>
      <c r="M89" s="4"/>
      <c r="N89" s="7"/>
      <c r="O89" s="7"/>
    </row>
  </sheetData>
  <sheetProtection/>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N65"/>
  <sheetViews>
    <sheetView zoomScalePageLayoutView="0" workbookViewId="0" topLeftCell="A1">
      <selection activeCell="F3" sqref="F3"/>
    </sheetView>
  </sheetViews>
  <sheetFormatPr defaultColWidth="9.140625" defaultRowHeight="12.75"/>
  <cols>
    <col min="1" max="2" width="9.140625" style="8" customWidth="1"/>
    <col min="3" max="3" width="9.57421875" style="8" customWidth="1"/>
    <col min="4" max="4" width="11.57421875" style="8" customWidth="1"/>
    <col min="5" max="5" width="8.7109375" style="8" customWidth="1"/>
    <col min="6" max="8" width="9.140625" style="8" customWidth="1"/>
    <col min="9" max="10" width="10.421875" style="8" customWidth="1"/>
    <col min="11" max="11" width="9.8515625" style="8" customWidth="1"/>
    <col min="12" max="12" width="9.7109375" style="8" customWidth="1"/>
    <col min="13" max="16384" width="9.140625" style="8" customWidth="1"/>
  </cols>
  <sheetData>
    <row r="1" ht="12"/>
    <row r="2" ht="15">
      <c r="A2" s="92" t="s">
        <v>146</v>
      </c>
    </row>
    <row r="3" ht="12"/>
    <row r="4" ht="12"/>
    <row r="5" spans="1:14" ht="12">
      <c r="A5" s="41" t="s">
        <v>140</v>
      </c>
      <c r="B5" s="97"/>
      <c r="C5" s="97"/>
      <c r="D5" s="42"/>
      <c r="E5" s="186">
        <v>0.05</v>
      </c>
      <c r="G5" s="25"/>
      <c r="H5" s="345" t="s">
        <v>136</v>
      </c>
      <c r="I5" s="346"/>
      <c r="J5" s="347"/>
      <c r="K5" s="25"/>
      <c r="L5" s="110" t="s">
        <v>161</v>
      </c>
      <c r="N5" s="4"/>
    </row>
    <row r="6" spans="1:12" ht="12">
      <c r="A6" s="41" t="s">
        <v>141</v>
      </c>
      <c r="B6" s="97"/>
      <c r="C6" s="97"/>
      <c r="D6" s="42"/>
      <c r="E6" s="186">
        <v>0.045</v>
      </c>
      <c r="H6" s="353" t="s">
        <v>160</v>
      </c>
      <c r="I6" s="354"/>
      <c r="J6" s="355"/>
      <c r="L6" s="111" t="s">
        <v>136</v>
      </c>
    </row>
    <row r="7" spans="1:12" ht="12">
      <c r="A7" s="41" t="s">
        <v>152</v>
      </c>
      <c r="B7" s="97"/>
      <c r="C7" s="97"/>
      <c r="D7" s="42"/>
      <c r="E7" s="187">
        <v>1.2</v>
      </c>
      <c r="H7" s="188">
        <v>1</v>
      </c>
      <c r="I7" s="356" t="str">
        <f>IF(H7=0,"Manual","Computed")</f>
        <v>Computed</v>
      </c>
      <c r="J7" s="357"/>
      <c r="L7" s="189">
        <v>0.085</v>
      </c>
    </row>
    <row r="8" ht="12"/>
    <row r="9" ht="12"/>
    <row r="10" spans="1:12" ht="12">
      <c r="A10" s="259" t="s">
        <v>132</v>
      </c>
      <c r="B10" s="260"/>
      <c r="C10" s="43"/>
      <c r="D10" s="204" t="s">
        <v>133</v>
      </c>
      <c r="E10" s="204" t="s">
        <v>135</v>
      </c>
      <c r="F10" s="204" t="s">
        <v>134</v>
      </c>
      <c r="H10" s="345" t="s">
        <v>162</v>
      </c>
      <c r="I10" s="346"/>
      <c r="J10" s="346"/>
      <c r="K10" s="346"/>
      <c r="L10" s="347"/>
    </row>
    <row r="11" spans="1:12" ht="12">
      <c r="A11" s="262" t="str">
        <f>Bal_Sheet!A46</f>
        <v>Existing Debt</v>
      </c>
      <c r="B11" s="219"/>
      <c r="C11" s="219"/>
      <c r="D11" s="59">
        <f>Bal_Sheet!E46</f>
        <v>65000</v>
      </c>
      <c r="E11" s="207">
        <f>assumed_debt_cou_rate</f>
        <v>0.0425</v>
      </c>
      <c r="F11" s="207">
        <f aca="true" t="shared" si="0" ref="F11:F18">IF($D$20=0,0,E11*(D11/$D$20))</f>
        <v>0.004597366395539931</v>
      </c>
      <c r="H11" s="51"/>
      <c r="I11" s="90"/>
      <c r="J11" s="102" t="s">
        <v>145</v>
      </c>
      <c r="K11" s="102" t="s">
        <v>147</v>
      </c>
      <c r="L11" s="102" t="s">
        <v>148</v>
      </c>
    </row>
    <row r="12" spans="1:12" ht="12">
      <c r="A12" s="262" t="str">
        <f>Bal_Sheet!A47</f>
        <v>Bank Revolver</v>
      </c>
      <c r="B12" s="219"/>
      <c r="C12" s="219"/>
      <c r="D12" s="59">
        <f>Bal_Sheet!E47</f>
        <v>200887.5</v>
      </c>
      <c r="E12" s="207">
        <f>bank_revolver_cou_rate</f>
        <v>0.0475</v>
      </c>
      <c r="F12" s="207">
        <f t="shared" si="0"/>
        <v>0.015880104428865637</v>
      </c>
      <c r="H12" s="30" t="s">
        <v>149</v>
      </c>
      <c r="I12" s="31"/>
      <c r="J12" s="101">
        <f>IF($D$20+$D$25+$D$28=0,0,D20/($D$20+$D$25+$D$28))</f>
        <v>0.6369466417564362</v>
      </c>
      <c r="K12" s="101">
        <f>F21</f>
        <v>0.030956129995215416</v>
      </c>
      <c r="L12" s="101">
        <f>J12*K12</f>
        <v>0.019717403042228143</v>
      </c>
    </row>
    <row r="13" spans="1:12" ht="12">
      <c r="A13" s="256" t="str">
        <f>Bal_Sheet!A48</f>
        <v>Term Loan "A"</v>
      </c>
      <c r="B13" s="107"/>
      <c r="C13" s="107"/>
      <c r="D13" s="59">
        <f>Bal_Sheet!E48</f>
        <v>80000</v>
      </c>
      <c r="E13" s="207">
        <f>termloanA_cou_rate</f>
        <v>0.055</v>
      </c>
      <c r="F13" s="207">
        <f t="shared" si="0"/>
        <v>0.007322502132262694</v>
      </c>
      <c r="H13" s="30" t="s">
        <v>150</v>
      </c>
      <c r="I13" s="31"/>
      <c r="J13" s="101">
        <f>IF($D$20+$D$25+$D$28=0,0,D25/($D$20+$D$25+$D$28))</f>
        <v>0.06360058830544182</v>
      </c>
      <c r="K13" s="101">
        <f>E25</f>
        <v>0.07</v>
      </c>
      <c r="L13" s="101">
        <f>J13*K13</f>
        <v>0.004452041181380928</v>
      </c>
    </row>
    <row r="14" spans="1:12" ht="12">
      <c r="A14" s="256" t="str">
        <f>Bal_Sheet!A49</f>
        <v>Term Loan "B"</v>
      </c>
      <c r="B14" s="107"/>
      <c r="C14" s="107"/>
      <c r="D14" s="59">
        <f>Bal_Sheet!E49</f>
        <v>55000</v>
      </c>
      <c r="E14" s="207">
        <f>termloanB_cou_rate</f>
        <v>0.0525</v>
      </c>
      <c r="F14" s="207">
        <f t="shared" si="0"/>
        <v>0.0048053920242973934</v>
      </c>
      <c r="H14" s="30" t="s">
        <v>151</v>
      </c>
      <c r="I14" s="31"/>
      <c r="J14" s="101">
        <f>IF($D$20+$D$25+$D$28=0,0,D28/($D$20+$D$25+$D$28))</f>
        <v>0.2994527699381219</v>
      </c>
      <c r="K14" s="101">
        <f>E28</f>
        <v>0.16026463136515304</v>
      </c>
      <c r="L14" s="101">
        <f>J14*K14</f>
        <v>0.04799168778540709</v>
      </c>
    </row>
    <row r="15" spans="1:12" ht="12">
      <c r="A15" s="256" t="str">
        <f>Bal_Sheet!A50</f>
        <v>Senior Notes</v>
      </c>
      <c r="B15" s="107"/>
      <c r="C15" s="107"/>
      <c r="D15" s="59">
        <f>Bal_Sheet!E50</f>
        <v>65000</v>
      </c>
      <c r="E15" s="207">
        <f>senior_notes_cou_rate</f>
        <v>0.0425</v>
      </c>
      <c r="F15" s="207">
        <f t="shared" si="0"/>
        <v>0.004597366395539931</v>
      </c>
      <c r="H15" s="103"/>
      <c r="I15" s="36"/>
      <c r="J15" s="104"/>
      <c r="K15" s="104"/>
      <c r="L15" s="105"/>
    </row>
    <row r="16" spans="1:12" ht="12">
      <c r="A16" s="256" t="str">
        <f>Bal_Sheet!A51</f>
        <v>Subordinated Notes</v>
      </c>
      <c r="B16" s="107"/>
      <c r="C16" s="107"/>
      <c r="D16" s="59">
        <f>Bal_Sheet!E51</f>
        <v>40000</v>
      </c>
      <c r="E16" s="207">
        <f>sub_notes_cou_rate</f>
        <v>0.045</v>
      </c>
      <c r="F16" s="207">
        <f t="shared" si="0"/>
        <v>0.0029955690541074655</v>
      </c>
      <c r="H16" s="39" t="s">
        <v>136</v>
      </c>
      <c r="I16" s="107"/>
      <c r="J16" s="108"/>
      <c r="K16" s="109"/>
      <c r="L16" s="106">
        <f>SUM(L12:L14)</f>
        <v>0.07216113200901617</v>
      </c>
    </row>
    <row r="17" spans="1:6" ht="12">
      <c r="A17" s="256" t="str">
        <f>Bal_Sheet!A52</f>
        <v>Mezzanine Debt</v>
      </c>
      <c r="B17" s="107"/>
      <c r="C17" s="107"/>
      <c r="D17" s="59">
        <f>Bal_Sheet!E52</f>
        <v>70000</v>
      </c>
      <c r="E17" s="207">
        <f>mezzdebt_cou_rate</f>
        <v>0.045</v>
      </c>
      <c r="F17" s="207">
        <f t="shared" si="0"/>
        <v>0.0052422458446880656</v>
      </c>
    </row>
    <row r="18" spans="1:12" ht="12">
      <c r="A18" s="256" t="str">
        <f>Bal_Sheet!A53</f>
        <v>Seller Notes</v>
      </c>
      <c r="B18" s="107"/>
      <c r="C18" s="107"/>
      <c r="D18" s="263">
        <f>Bal_Sheet!E53</f>
        <v>25000</v>
      </c>
      <c r="E18" s="264">
        <f>seller_notes_cou_rate</f>
        <v>0.0525</v>
      </c>
      <c r="F18" s="264">
        <f t="shared" si="0"/>
        <v>0.0021842691019533607</v>
      </c>
      <c r="J18" s="93"/>
      <c r="K18" s="93"/>
      <c r="L18" s="197"/>
    </row>
    <row r="19" spans="1:12" ht="12">
      <c r="A19" s="103"/>
      <c r="B19" s="36"/>
      <c r="C19" s="36"/>
      <c r="D19" s="41"/>
      <c r="E19" s="97"/>
      <c r="F19" s="42"/>
      <c r="L19" s="197"/>
    </row>
    <row r="20" spans="1:12" ht="12">
      <c r="A20" s="39" t="s">
        <v>144</v>
      </c>
      <c r="B20" s="107"/>
      <c r="C20" s="31"/>
      <c r="D20" s="265">
        <f>SUM(D11:D19)</f>
        <v>600887.5</v>
      </c>
      <c r="E20" s="266"/>
      <c r="F20" s="266">
        <f>SUM(F11:F19)</f>
        <v>0.047624815377254485</v>
      </c>
      <c r="L20" s="197"/>
    </row>
    <row r="21" spans="1:12" ht="12">
      <c r="A21" s="103"/>
      <c r="B21" s="36"/>
      <c r="C21" s="36"/>
      <c r="D21" s="86"/>
      <c r="E21" s="267" t="s">
        <v>137</v>
      </c>
      <c r="F21" s="258">
        <f>F20*(1-tax_rate)</f>
        <v>0.030956129995215416</v>
      </c>
      <c r="L21" s="197"/>
    </row>
    <row r="22" spans="1:12" ht="12">
      <c r="A22" s="103"/>
      <c r="B22" s="36"/>
      <c r="C22" s="36"/>
      <c r="D22" s="86"/>
      <c r="E22" s="104"/>
      <c r="F22" s="105"/>
      <c r="L22" s="197"/>
    </row>
    <row r="23" spans="1:12" ht="12">
      <c r="A23" s="103"/>
      <c r="B23" s="36"/>
      <c r="C23" s="36"/>
      <c r="D23" s="86"/>
      <c r="E23" s="104"/>
      <c r="F23" s="105"/>
      <c r="L23" s="197"/>
    </row>
    <row r="24" spans="1:12" ht="12">
      <c r="A24" s="114" t="s">
        <v>138</v>
      </c>
      <c r="B24" s="255"/>
      <c r="C24" s="255"/>
      <c r="D24" s="257"/>
      <c r="E24" s="104"/>
      <c r="F24" s="87"/>
      <c r="L24" s="197"/>
    </row>
    <row r="25" spans="1:12" ht="12">
      <c r="A25" s="256" t="str">
        <f>Bal_Sheet!A61</f>
        <v>Preferred Stock</v>
      </c>
      <c r="B25" s="107"/>
      <c r="C25" s="31"/>
      <c r="D25" s="59">
        <f>Bal_Sheet!E61</f>
        <v>60000</v>
      </c>
      <c r="E25" s="258">
        <f>pref_stock_div</f>
        <v>0.07</v>
      </c>
      <c r="F25" s="87"/>
      <c r="L25" s="197"/>
    </row>
    <row r="26" spans="1:12" ht="12">
      <c r="A26" s="103"/>
      <c r="B26" s="36"/>
      <c r="C26" s="36"/>
      <c r="D26" s="86"/>
      <c r="E26" s="104"/>
      <c r="F26" s="87"/>
      <c r="L26" s="197"/>
    </row>
    <row r="27" spans="1:12" ht="12">
      <c r="A27" s="114" t="s">
        <v>158</v>
      </c>
      <c r="B27" s="255"/>
      <c r="C27" s="33"/>
      <c r="D27" s="86"/>
      <c r="E27" s="36"/>
      <c r="F27" s="87"/>
      <c r="L27" s="197"/>
    </row>
    <row r="28" spans="1:12" ht="12">
      <c r="A28" s="256" t="s">
        <v>139</v>
      </c>
      <c r="B28" s="107"/>
      <c r="C28" s="31"/>
      <c r="D28" s="59">
        <f>Bal_Sheet!E62+Bal_Sheet!E63</f>
        <v>282500</v>
      </c>
      <c r="E28" s="258">
        <f>E5+E6*D54</f>
        <v>0.16026463136515304</v>
      </c>
      <c r="F28" s="217"/>
      <c r="L28" s="197"/>
    </row>
    <row r="29" spans="5:12" ht="12">
      <c r="E29" s="94"/>
      <c r="L29" s="94"/>
    </row>
    <row r="30" spans="5:12" ht="12">
      <c r="E30" s="94"/>
      <c r="L30" s="94"/>
    </row>
    <row r="31" spans="5:12" ht="12">
      <c r="E31" s="94"/>
      <c r="L31" s="94"/>
    </row>
    <row r="32" spans="1:12" ht="12">
      <c r="A32" s="345" t="s">
        <v>163</v>
      </c>
      <c r="B32" s="346"/>
      <c r="C32" s="346"/>
      <c r="D32" s="347"/>
      <c r="L32" s="94"/>
    </row>
    <row r="33" spans="1:12" ht="12">
      <c r="A33" s="279"/>
      <c r="B33" s="36"/>
      <c r="C33" s="36"/>
      <c r="D33" s="87"/>
      <c r="L33" s="94"/>
    </row>
    <row r="34" spans="1:12" ht="12">
      <c r="A34" s="268" t="s">
        <v>152</v>
      </c>
      <c r="B34" s="107"/>
      <c r="C34" s="31"/>
      <c r="D34" s="278">
        <f>E7</f>
        <v>1.2</v>
      </c>
      <c r="L34" s="94"/>
    </row>
    <row r="35" spans="1:12" ht="12">
      <c r="A35" s="273"/>
      <c r="B35" s="36"/>
      <c r="C35" s="36"/>
      <c r="D35" s="105"/>
      <c r="L35" s="94"/>
    </row>
    <row r="36" spans="1:4" ht="12">
      <c r="A36" s="270" t="s">
        <v>153</v>
      </c>
      <c r="B36" s="219"/>
      <c r="C36" s="38"/>
      <c r="D36" s="280"/>
    </row>
    <row r="37" spans="1:4" ht="12">
      <c r="A37" s="269" t="s">
        <v>154</v>
      </c>
      <c r="B37" s="220"/>
      <c r="C37" s="271"/>
      <c r="D37" s="81">
        <f>Bal_Sheet!C54</f>
        <v>250000</v>
      </c>
    </row>
    <row r="38" spans="1:4" ht="12">
      <c r="A38" s="269" t="s">
        <v>155</v>
      </c>
      <c r="B38" s="220"/>
      <c r="C38" s="271"/>
      <c r="D38" s="81">
        <f>Input!C8*no_shares_outs</f>
        <v>600000</v>
      </c>
    </row>
    <row r="39" spans="1:4" ht="12">
      <c r="A39" s="269" t="s">
        <v>124</v>
      </c>
      <c r="B39" s="220"/>
      <c r="C39" s="271"/>
      <c r="D39" s="81">
        <v>0</v>
      </c>
    </row>
    <row r="40" spans="1:4" ht="12">
      <c r="A40" s="269" t="s">
        <v>156</v>
      </c>
      <c r="B40" s="220"/>
      <c r="C40" s="271"/>
      <c r="D40" s="274">
        <f>D37/D38</f>
        <v>0.4166666666666667</v>
      </c>
    </row>
    <row r="41" spans="1:4" ht="12">
      <c r="A41" s="261" t="s">
        <v>159</v>
      </c>
      <c r="B41" s="272"/>
      <c r="C41" s="201"/>
      <c r="D41" s="274">
        <f>D39/D38</f>
        <v>0</v>
      </c>
    </row>
    <row r="42" spans="1:4" ht="12">
      <c r="A42" s="273"/>
      <c r="B42" s="36"/>
      <c r="C42" s="36"/>
      <c r="D42" s="105"/>
    </row>
    <row r="43" spans="1:4" ht="12">
      <c r="A43" s="37" t="s">
        <v>157</v>
      </c>
      <c r="B43" s="219"/>
      <c r="C43" s="38"/>
      <c r="D43" s="87"/>
    </row>
    <row r="44" spans="1:4" ht="12">
      <c r="A44" s="269" t="str">
        <f>A37</f>
        <v>Debt</v>
      </c>
      <c r="B44" s="220"/>
      <c r="C44" s="271"/>
      <c r="D44" s="81">
        <f>Bal_Sheet!E54</f>
        <v>600887.5</v>
      </c>
    </row>
    <row r="45" spans="1:4" ht="12">
      <c r="A45" s="269" t="str">
        <f>A38</f>
        <v>Equity</v>
      </c>
      <c r="B45" s="220"/>
      <c r="C45" s="271"/>
      <c r="D45" s="81">
        <f>SUM(Bal_Sheet!E62:E63)</f>
        <v>282500</v>
      </c>
    </row>
    <row r="46" spans="1:4" ht="12">
      <c r="A46" s="269" t="str">
        <f>A39</f>
        <v>Preferred Stock</v>
      </c>
      <c r="B46" s="220"/>
      <c r="C46" s="271"/>
      <c r="D46" s="81">
        <f>Bal_Sheet!E61</f>
        <v>60000</v>
      </c>
    </row>
    <row r="47" spans="1:4" ht="12">
      <c r="A47" s="269" t="str">
        <f>A40</f>
        <v>Debt/Equity Ratio</v>
      </c>
      <c r="B47" s="220"/>
      <c r="C47" s="271"/>
      <c r="D47" s="274">
        <f>D44/D45</f>
        <v>2.1270353982300887</v>
      </c>
    </row>
    <row r="48" spans="1:4" ht="12">
      <c r="A48" s="261" t="str">
        <f>A41</f>
        <v>Preferred Stock/Equity Ratio</v>
      </c>
      <c r="B48" s="272"/>
      <c r="C48" s="201"/>
      <c r="D48" s="274">
        <f>D46/D45</f>
        <v>0.21238938053097345</v>
      </c>
    </row>
    <row r="49" spans="1:4" ht="12">
      <c r="A49" s="273"/>
      <c r="B49" s="36"/>
      <c r="C49" s="36"/>
      <c r="D49" s="105"/>
    </row>
    <row r="50" spans="1:4" ht="12">
      <c r="A50" s="30" t="str">
        <f>Input!L45</f>
        <v>Tax Rate          </v>
      </c>
      <c r="B50" s="107"/>
      <c r="C50" s="31"/>
      <c r="D50" s="207">
        <f>tax_rate</f>
        <v>0.35</v>
      </c>
    </row>
    <row r="51" spans="1:4" ht="12">
      <c r="A51" s="103"/>
      <c r="B51" s="36"/>
      <c r="C51" s="36"/>
      <c r="D51" s="87"/>
    </row>
    <row r="52" spans="1:4" ht="12">
      <c r="A52" s="39" t="s">
        <v>142</v>
      </c>
      <c r="B52" s="275"/>
      <c r="C52" s="276"/>
      <c r="D52" s="277">
        <f>D34/(1+(1-D50)*D40+D41)</f>
        <v>0.944262295081967</v>
      </c>
    </row>
    <row r="53" spans="1:4" ht="12">
      <c r="A53" s="103"/>
      <c r="B53" s="36"/>
      <c r="C53" s="36"/>
      <c r="D53" s="281"/>
    </row>
    <row r="54" spans="1:4" ht="12">
      <c r="A54" s="39" t="s">
        <v>143</v>
      </c>
      <c r="B54" s="275"/>
      <c r="C54" s="276"/>
      <c r="D54" s="277">
        <f>D52*(1+(1-D50)*D47+D48)</f>
        <v>2.4503251414478453</v>
      </c>
    </row>
    <row r="55" ht="12">
      <c r="D55" s="94"/>
    </row>
    <row r="56" ht="12">
      <c r="D56" s="94"/>
    </row>
    <row r="65" ht="12.75">
      <c r="A65" s="100"/>
    </row>
  </sheetData>
  <sheetProtection/>
  <mergeCells count="5">
    <mergeCell ref="A32:D32"/>
    <mergeCell ref="H5:J5"/>
    <mergeCell ref="H6:J6"/>
    <mergeCell ref="I7:J7"/>
    <mergeCell ref="H10:L10"/>
  </mergeCells>
  <dataValidations count="1">
    <dataValidation type="list" allowBlank="1" showInputMessage="1" showErrorMessage="1" sqref="H7">
      <formula1>"0,1"</formula1>
    </dataValidation>
  </dataValidation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2:AW53"/>
  <sheetViews>
    <sheetView zoomScalePageLayoutView="0" workbookViewId="0" topLeftCell="A1">
      <selection activeCell="E4" sqref="E4"/>
    </sheetView>
  </sheetViews>
  <sheetFormatPr defaultColWidth="9.140625" defaultRowHeight="12.75"/>
  <cols>
    <col min="1" max="1" width="4.00390625" style="8" customWidth="1"/>
    <col min="2" max="5" width="10.7109375" style="8" customWidth="1"/>
    <col min="6" max="6" width="11.28125" style="8" customWidth="1"/>
    <col min="7" max="7" width="10.00390625" style="8" customWidth="1"/>
    <col min="8" max="9" width="10.7109375" style="8" customWidth="1"/>
    <col min="10" max="10" width="11.140625" style="8" customWidth="1"/>
    <col min="11" max="11" width="11.421875" style="8" customWidth="1"/>
    <col min="12" max="12" width="10.7109375" style="8" customWidth="1"/>
    <col min="13" max="19" width="10.28125" style="8" customWidth="1"/>
    <col min="20" max="16384" width="9.140625" style="8" customWidth="1"/>
  </cols>
  <sheetData>
    <row r="2" spans="2:4" ht="15">
      <c r="B2" s="92" t="s">
        <v>130</v>
      </c>
      <c r="C2" s="91"/>
      <c r="D2" s="91"/>
    </row>
    <row r="4" spans="3:49" ht="12">
      <c r="C4" s="57"/>
      <c r="D4" s="57"/>
      <c r="E4" s="57"/>
      <c r="F4" s="57"/>
      <c r="G4" s="57"/>
      <c r="H4" s="57"/>
      <c r="I4" s="57"/>
      <c r="J4" s="57"/>
      <c r="K4" s="57"/>
      <c r="L4" s="57"/>
      <c r="M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row>
    <row r="5" spans="2:49" ht="12.75" customHeight="1">
      <c r="B5" s="345" t="s">
        <v>305</v>
      </c>
      <c r="C5" s="346"/>
      <c r="D5" s="347"/>
      <c r="E5" s="193"/>
      <c r="F5" s="193"/>
      <c r="G5" s="193"/>
      <c r="M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row>
    <row r="6" spans="2:49" ht="12.75">
      <c r="B6" s="74"/>
      <c r="C6" s="75"/>
      <c r="D6" s="76"/>
      <c r="M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row>
    <row r="7" spans="2:14" ht="12">
      <c r="B7" s="249" t="str">
        <f>"NPV of FCFF @ "&amp;TEXT(B30,"0.00%")</f>
        <v>NPV of FCFF @ 6.00%</v>
      </c>
      <c r="C7" s="84"/>
      <c r="D7" s="73">
        <f>NPV(B30,Cash_Flow!$D$70:$M$70)</f>
        <v>802189.0198052065</v>
      </c>
      <c r="M7" s="4"/>
      <c r="N7" s="4"/>
    </row>
    <row r="8" spans="2:14" ht="12">
      <c r="B8" s="249" t="str">
        <f>"NPV of FCFF @ "&amp;TEXT(B31,"0.00%")</f>
        <v>NPV of FCFF @ 7.00%</v>
      </c>
      <c r="C8" s="84"/>
      <c r="D8" s="59">
        <f>NPV(B31,Cash_Flow!$D$70:$M$70)</f>
        <v>760040.4301143723</v>
      </c>
      <c r="M8" s="4"/>
      <c r="N8" s="4"/>
    </row>
    <row r="9" spans="2:14" ht="12">
      <c r="B9" s="249" t="str">
        <f>"NPV of FCFF @ "&amp;TEXT(B32,"0.00%")</f>
        <v>NPV of FCFF @ 8.00%</v>
      </c>
      <c r="C9" s="84"/>
      <c r="D9" s="59">
        <f>NPV(B32,Cash_Flow!$D$70:$M$70)</f>
        <v>720896.1513505009</v>
      </c>
      <c r="M9" s="4"/>
      <c r="N9" s="4"/>
    </row>
    <row r="10" spans="13:14" ht="12">
      <c r="M10" s="4"/>
      <c r="N10" s="4"/>
    </row>
    <row r="11" spans="13:14" ht="12">
      <c r="M11" s="4"/>
      <c r="N11" s="4"/>
    </row>
    <row r="12" spans="2:12" ht="12">
      <c r="B12" s="345" t="s">
        <v>118</v>
      </c>
      <c r="C12" s="346"/>
      <c r="D12" s="347"/>
      <c r="H12" s="345" t="s">
        <v>119</v>
      </c>
      <c r="I12" s="346"/>
      <c r="J12" s="346"/>
      <c r="K12" s="346"/>
      <c r="L12" s="347"/>
    </row>
    <row r="13" spans="2:12" ht="12.75">
      <c r="B13" s="74"/>
      <c r="C13" s="75"/>
      <c r="D13" s="76"/>
      <c r="H13" s="71"/>
      <c r="I13" s="78"/>
      <c r="J13" s="77">
        <f>C29</f>
        <v>4</v>
      </c>
      <c r="K13" s="77">
        <f>D29</f>
        <v>6</v>
      </c>
      <c r="L13" s="77">
        <f>E29</f>
        <v>8</v>
      </c>
    </row>
    <row r="14" spans="2:12" ht="12">
      <c r="B14" s="249" t="str">
        <f>"Terminal Value @ "&amp;TEXT(C29,"0.0x")</f>
        <v>Terminal Value @ 4.0x</v>
      </c>
      <c r="C14" s="84"/>
      <c r="D14" s="73">
        <f>(Cash_Flow!$M$61+Cash_Flow!$M$62+Cash_Flow!$M$66)*C29</f>
        <v>2819044.495674508</v>
      </c>
      <c r="H14" s="249" t="str">
        <f>"Terminal Value @ "&amp;TEXT(B30,"0.00%")</f>
        <v>Terminal Value @ 6.00%</v>
      </c>
      <c r="I14" s="84"/>
      <c r="J14" s="59">
        <f>$D$14/(1+B30)^Cash_Flow!$M$5</f>
        <v>1574139.722275958</v>
      </c>
      <c r="K14" s="59">
        <f>$D$15/(1+B30)^Cash_Flow!$M$5</f>
        <v>2361209.583413937</v>
      </c>
      <c r="L14" s="59">
        <f>$D$16/(1+B30)^Cash_Flow!$M$5</f>
        <v>3148279.444551916</v>
      </c>
    </row>
    <row r="15" spans="2:12" ht="12">
      <c r="B15" s="249" t="str">
        <f>"Terminal Value @ "&amp;TEXT(D29,"0.0x")</f>
        <v>Terminal Value @ 6.0x</v>
      </c>
      <c r="C15" s="84"/>
      <c r="D15" s="73">
        <f>(Cash_Flow!$M$61+Cash_Flow!$M$62+Cash_Flow!$M$66)*D29</f>
        <v>4228566.7435117625</v>
      </c>
      <c r="H15" s="249" t="str">
        <f>"Terminal Value @ "&amp;TEXT(B31,"0.00%")</f>
        <v>Terminal Value @ 7.00%</v>
      </c>
      <c r="I15" s="84"/>
      <c r="J15" s="59">
        <f>$D$14/(1+B31)^Cash_Flow!$M$5</f>
        <v>1433059.2738724088</v>
      </c>
      <c r="K15" s="59">
        <f>$D$15/(1+B31)^Cash_Flow!$M$5</f>
        <v>2149588.910808613</v>
      </c>
      <c r="L15" s="59">
        <f>$D$16/(1+B31)^Cash_Flow!$M$5</f>
        <v>2866118.5477448176</v>
      </c>
    </row>
    <row r="16" spans="2:12" ht="12">
      <c r="B16" s="249" t="str">
        <f>"Terminal Value @ "&amp;TEXT(E29,"0.0x")</f>
        <v>Terminal Value @ 8.0x</v>
      </c>
      <c r="C16" s="84"/>
      <c r="D16" s="73">
        <f>(Cash_Flow!$M$61+Cash_Flow!$M$62+Cash_Flow!$M$66)*E29</f>
        <v>5638088.991349016</v>
      </c>
      <c r="H16" s="249" t="str">
        <f>"Terminal Value @ "&amp;TEXT(B32,"0.00%")</f>
        <v>Terminal Value @ 8.00%</v>
      </c>
      <c r="I16" s="84"/>
      <c r="J16" s="59">
        <f>$D$14/(1+B32)^Cash_Flow!$M$5</f>
        <v>1305763.053017405</v>
      </c>
      <c r="K16" s="59">
        <f>$D$15/(1+B32)^Cash_Flow!$M$5</f>
        <v>1958644.5795261078</v>
      </c>
      <c r="L16" s="59">
        <f>$D$16/(1+B32)^Cash_Flow!$M$5</f>
        <v>2611526.10603481</v>
      </c>
    </row>
    <row r="17" spans="2:12" ht="12">
      <c r="B17" s="4"/>
      <c r="C17" s="4"/>
      <c r="D17" s="4"/>
      <c r="E17" s="4"/>
      <c r="F17" s="4"/>
      <c r="G17" s="4"/>
      <c r="H17" s="4"/>
      <c r="I17" s="4"/>
      <c r="J17" s="4"/>
      <c r="K17" s="4"/>
      <c r="L17" s="4"/>
    </row>
    <row r="18" spans="2:12" ht="12">
      <c r="B18" s="4"/>
      <c r="C18" s="4"/>
      <c r="D18" s="4"/>
      <c r="E18" s="4"/>
      <c r="F18" s="4"/>
      <c r="G18" s="4"/>
      <c r="H18" s="4"/>
      <c r="I18" s="4"/>
      <c r="J18" s="4"/>
      <c r="K18" s="4"/>
      <c r="L18" s="4"/>
    </row>
    <row r="19" spans="2:12" ht="12">
      <c r="B19" s="345" t="s">
        <v>120</v>
      </c>
      <c r="C19" s="346"/>
      <c r="D19" s="346"/>
      <c r="E19" s="346"/>
      <c r="F19" s="347"/>
      <c r="H19" s="345" t="s">
        <v>121</v>
      </c>
      <c r="I19" s="346"/>
      <c r="J19" s="346"/>
      <c r="K19" s="346"/>
      <c r="L19" s="347"/>
    </row>
    <row r="20" spans="2:12" ht="12">
      <c r="B20" s="71"/>
      <c r="C20" s="78"/>
      <c r="D20" s="79">
        <f>H29</f>
        <v>0.024999999999999998</v>
      </c>
      <c r="E20" s="79">
        <f>I29</f>
        <v>0.03</v>
      </c>
      <c r="F20" s="79">
        <f>J29</f>
        <v>0.034999999999999996</v>
      </c>
      <c r="H20" s="71"/>
      <c r="I20" s="78"/>
      <c r="J20" s="79">
        <f>H29</f>
        <v>0.024999999999999998</v>
      </c>
      <c r="K20" s="79">
        <f>I29</f>
        <v>0.03</v>
      </c>
      <c r="L20" s="79">
        <f>J29</f>
        <v>0.034999999999999996</v>
      </c>
    </row>
    <row r="21" spans="2:12" ht="12">
      <c r="B21" s="249" t="str">
        <f>"Terminal Value @ "&amp;TEXT(G30,"0.00%")</f>
        <v>Terminal Value @ 6.00%</v>
      </c>
      <c r="C21" s="84"/>
      <c r="D21" s="59">
        <f>(Cash_Flow!$M$70*(1+D$20))/($G30-D$20)</f>
        <v>3291577.4973486154</v>
      </c>
      <c r="E21" s="59">
        <f>(Cash_Flow!$M$70*(1+E$20))/($G30-E$20)</f>
        <v>3858906.301769677</v>
      </c>
      <c r="F21" s="59">
        <f>(Cash_Flow!$M$70*(1+F$20))/($G30-F$20)</f>
        <v>4653166.627959163</v>
      </c>
      <c r="H21" s="249" t="str">
        <f>"Terminal Value @ "&amp;TEXT(G30,"0.00%")</f>
        <v>Terminal Value @ 6.00%</v>
      </c>
      <c r="I21" s="84"/>
      <c r="J21" s="59">
        <f>D21/(1+$G30)^Cash_Flow!$M$5</f>
        <v>1837999.682330802</v>
      </c>
      <c r="K21" s="59">
        <f>E21/(1+$G30)^Cash_Flow!$M$5</f>
        <v>2154793.1235130215</v>
      </c>
      <c r="L21" s="59">
        <f>F21/(1+$G30)^Cash_Flow!$M$5</f>
        <v>2598303.941168128</v>
      </c>
    </row>
    <row r="22" spans="2:12" ht="12">
      <c r="B22" s="249" t="str">
        <f>"Terminal Value @ "&amp;TEXT(G31,"0.00%")</f>
        <v>Terminal Value @ 7.00%</v>
      </c>
      <c r="C22" s="84"/>
      <c r="D22" s="59">
        <f>(Cash_Flow!$M$70*(1+D$20))/($G31-D$20)</f>
        <v>2560115.8312711446</v>
      </c>
      <c r="E22" s="59">
        <f>(Cash_Flow!$M$70*(1+E$20))/($G31-E$20)</f>
        <v>2894179.7263272577</v>
      </c>
      <c r="F22" s="59">
        <f>(Cash_Flow!$M$70*(1+F$20))/($G31-F$20)</f>
        <v>3323690.4485422596</v>
      </c>
      <c r="H22" s="249" t="str">
        <f>"Terminal Value @ "&amp;TEXT(G31,"0.00%")</f>
        <v>Terminal Value @ 7.00%</v>
      </c>
      <c r="I22" s="84"/>
      <c r="J22" s="59">
        <f>D22/(1+$G31)^Cash_Flow!$M$5</f>
        <v>1301433.070609571</v>
      </c>
      <c r="K22" s="59">
        <f>E22/(1+$G31)^Cash_Flow!$M$5</f>
        <v>1471254.2151891128</v>
      </c>
      <c r="L22" s="59">
        <f>F22/(1+$G31)^Cash_Flow!$M$5</f>
        <v>1689595.6867913804</v>
      </c>
    </row>
    <row r="23" spans="2:12" ht="12">
      <c r="B23" s="249" t="str">
        <f>"Terminal Value @ "&amp;TEXT(G32,"0.00%")</f>
        <v>Terminal Value @ 8.00%</v>
      </c>
      <c r="C23" s="84"/>
      <c r="D23" s="59">
        <f>(Cash_Flow!$M$70*(1+D$20))/($G32-D$20)</f>
        <v>2094640.2255854823</v>
      </c>
      <c r="E23" s="59">
        <f>(Cash_Flow!$M$70*(1+E$20))/($G32-E$20)</f>
        <v>2315343.7810618067</v>
      </c>
      <c r="F23" s="59">
        <f>(Cash_Flow!$M$70*(1+F$20))/($G32-F$20)</f>
        <v>2585092.5710884244</v>
      </c>
      <c r="H23" s="249" t="str">
        <f>"Terminal Value @ "&amp;TEXT(G32,"0.00%")</f>
        <v>Terminal Value @ 8.00%</v>
      </c>
      <c r="I23" s="84"/>
      <c r="J23" s="59">
        <f>D23/(1+$G32)^Cash_Flow!$M$5</f>
        <v>970223.7123714294</v>
      </c>
      <c r="K23" s="59">
        <f>E23/(1+$G32)^Cash_Flow!$M$5</f>
        <v>1072452.1620651998</v>
      </c>
      <c r="L23" s="59">
        <f>F23/(1+$G32)^Cash_Flow!$M$5</f>
        <v>1197398.0450242518</v>
      </c>
    </row>
    <row r="24" spans="3:14" ht="12">
      <c r="C24" s="4"/>
      <c r="D24" s="4"/>
      <c r="E24" s="4"/>
      <c r="F24" s="4"/>
      <c r="G24" s="4"/>
      <c r="H24" s="4"/>
      <c r="I24" s="4"/>
      <c r="J24" s="4"/>
      <c r="K24" s="4"/>
      <c r="L24" s="4"/>
      <c r="M24" s="4"/>
      <c r="N24" s="4"/>
    </row>
    <row r="25" spans="4:14" ht="12">
      <c r="D25" s="4"/>
      <c r="E25" s="4"/>
      <c r="F25" s="4"/>
      <c r="G25" s="4"/>
      <c r="H25" s="4"/>
      <c r="I25" s="4"/>
      <c r="J25" s="4"/>
      <c r="K25" s="4"/>
      <c r="L25" s="4"/>
      <c r="M25" s="4"/>
      <c r="N25" s="4"/>
    </row>
    <row r="26" spans="4:14" ht="12">
      <c r="D26" s="4"/>
      <c r="E26" s="4"/>
      <c r="F26" s="4"/>
      <c r="G26" s="4"/>
      <c r="H26" s="4"/>
      <c r="I26" s="4"/>
      <c r="J26" s="4"/>
      <c r="K26" s="4"/>
      <c r="L26" s="4"/>
      <c r="M26" s="4"/>
      <c r="N26" s="4"/>
    </row>
    <row r="27" spans="2:16" ht="12">
      <c r="B27" s="366" t="s">
        <v>108</v>
      </c>
      <c r="C27" s="367"/>
      <c r="D27" s="367"/>
      <c r="E27" s="367"/>
      <c r="F27" s="368"/>
      <c r="G27" s="367"/>
      <c r="H27" s="367"/>
      <c r="I27" s="367"/>
      <c r="J27" s="369"/>
      <c r="K27" s="4"/>
      <c r="L27" s="363" t="s">
        <v>127</v>
      </c>
      <c r="M27" s="364"/>
      <c r="N27" s="364"/>
      <c r="O27" s="364"/>
      <c r="P27" s="365"/>
    </row>
    <row r="28" spans="2:16" ht="12">
      <c r="B28" s="55"/>
      <c r="C28" s="358" t="s">
        <v>109</v>
      </c>
      <c r="D28" s="358"/>
      <c r="E28" s="345"/>
      <c r="F28" s="60"/>
      <c r="G28" s="54"/>
      <c r="H28" s="359" t="s">
        <v>110</v>
      </c>
      <c r="I28" s="359"/>
      <c r="J28" s="359"/>
      <c r="K28" s="4"/>
      <c r="L28" s="89"/>
      <c r="M28" s="75"/>
      <c r="N28" s="75"/>
      <c r="O28" s="90"/>
      <c r="P28" s="52"/>
    </row>
    <row r="29" spans="2:16" ht="12">
      <c r="B29" s="55"/>
      <c r="C29" s="63">
        <f>D29-ebitda_multiple_range</f>
        <v>4</v>
      </c>
      <c r="D29" s="63">
        <f>ebitda_multiple</f>
        <v>6</v>
      </c>
      <c r="E29" s="64">
        <f>D29+ebitda_multiple_range</f>
        <v>8</v>
      </c>
      <c r="F29" s="61"/>
      <c r="G29" s="54"/>
      <c r="H29" s="65">
        <f>I29-perpetuity_growth_range</f>
        <v>0.024999999999999998</v>
      </c>
      <c r="I29" s="65">
        <f>perpetuity_growth_rate</f>
        <v>0.03</v>
      </c>
      <c r="J29" s="65">
        <f>I29+perpetuity_growth_range</f>
        <v>0.034999999999999996</v>
      </c>
      <c r="K29" s="4"/>
      <c r="L29" s="88"/>
      <c r="M29" s="86"/>
      <c r="N29" s="360" t="str">
        <f>C28</f>
        <v>EBITDA Multiple Method</v>
      </c>
      <c r="O29" s="361"/>
      <c r="P29" s="362"/>
    </row>
    <row r="30" spans="2:16" ht="12">
      <c r="B30" s="65">
        <f>B31-discount_rate_range</f>
        <v>0.060000000000000005</v>
      </c>
      <c r="C30" s="81">
        <f aca="true" t="shared" si="0" ref="C30:E32">$D7+J14</f>
        <v>2376328.7420811644</v>
      </c>
      <c r="D30" s="81">
        <f t="shared" si="0"/>
        <v>3163398.6032191436</v>
      </c>
      <c r="E30" s="81">
        <f t="shared" si="0"/>
        <v>3950468.4643571223</v>
      </c>
      <c r="F30" s="61"/>
      <c r="G30" s="66">
        <f>G31-discount_rate_range</f>
        <v>0.060000000000000005</v>
      </c>
      <c r="H30" s="81">
        <f aca="true" t="shared" si="1" ref="H30:J32">$D7+J21</f>
        <v>2640188.7021360085</v>
      </c>
      <c r="I30" s="81">
        <f t="shared" si="1"/>
        <v>2956982.143318228</v>
      </c>
      <c r="J30" s="81">
        <f t="shared" si="1"/>
        <v>3400492.9609733345</v>
      </c>
      <c r="K30" s="4"/>
      <c r="L30" s="112" t="s">
        <v>128</v>
      </c>
      <c r="M30" s="113"/>
      <c r="N30" s="63">
        <f>C29</f>
        <v>4</v>
      </c>
      <c r="O30" s="63">
        <f>D29</f>
        <v>6</v>
      </c>
      <c r="P30" s="63">
        <f>E29</f>
        <v>8</v>
      </c>
    </row>
    <row r="31" spans="2:16" ht="12">
      <c r="B31" s="65">
        <f>WACC</f>
        <v>0.07</v>
      </c>
      <c r="C31" s="81">
        <f t="shared" si="0"/>
        <v>2193099.703986781</v>
      </c>
      <c r="D31" s="81">
        <f t="shared" si="0"/>
        <v>2909629.340922985</v>
      </c>
      <c r="E31" s="81">
        <f t="shared" si="0"/>
        <v>3626158.9778591897</v>
      </c>
      <c r="F31" s="61"/>
      <c r="G31" s="66">
        <f>B31</f>
        <v>0.07</v>
      </c>
      <c r="H31" s="81">
        <f t="shared" si="1"/>
        <v>2061473.500723943</v>
      </c>
      <c r="I31" s="81">
        <f t="shared" si="1"/>
        <v>2231294.645303485</v>
      </c>
      <c r="J31" s="81">
        <f t="shared" si="1"/>
        <v>2449636.1169057526</v>
      </c>
      <c r="K31" s="4"/>
      <c r="L31" s="83" t="str">
        <f>"@ "&amp;TEXT(B30,"0.00%")</f>
        <v>@ 6.00%</v>
      </c>
      <c r="M31" s="84"/>
      <c r="N31" s="85">
        <f aca="true" t="shared" si="2" ref="N31:P33">$D7/C30</f>
        <v>0.3375749346458931</v>
      </c>
      <c r="O31" s="85">
        <f t="shared" si="2"/>
        <v>0.2535845526987593</v>
      </c>
      <c r="P31" s="85">
        <f t="shared" si="2"/>
        <v>0.20306174496592275</v>
      </c>
    </row>
    <row r="32" spans="2:16" ht="12">
      <c r="B32" s="65">
        <f>B31+discount_rate_range</f>
        <v>0.08</v>
      </c>
      <c r="C32" s="81">
        <f t="shared" si="0"/>
        <v>2026659.2043679059</v>
      </c>
      <c r="D32" s="81">
        <f t="shared" si="0"/>
        <v>2679540.7308766088</v>
      </c>
      <c r="E32" s="81">
        <f t="shared" si="0"/>
        <v>3332422.257385311</v>
      </c>
      <c r="F32" s="62"/>
      <c r="G32" s="66">
        <f>G31+discount_rate_range</f>
        <v>0.08</v>
      </c>
      <c r="H32" s="81">
        <f t="shared" si="1"/>
        <v>1691119.8637219304</v>
      </c>
      <c r="I32" s="81">
        <f t="shared" si="1"/>
        <v>1793348.3134157006</v>
      </c>
      <c r="J32" s="81">
        <f t="shared" si="1"/>
        <v>1918294.1963747526</v>
      </c>
      <c r="K32" s="4"/>
      <c r="L32" s="83" t="str">
        <f>"@ "&amp;TEXT(B31,"0.00%")</f>
        <v>@ 7.00%</v>
      </c>
      <c r="M32" s="84"/>
      <c r="N32" s="85">
        <f t="shared" si="2"/>
        <v>0.3465599073004815</v>
      </c>
      <c r="O32" s="85">
        <f t="shared" si="2"/>
        <v>0.26121555052550927</v>
      </c>
      <c r="P32" s="85">
        <f t="shared" si="2"/>
        <v>0.20959931286936698</v>
      </c>
    </row>
    <row r="33" spans="4:16" ht="12">
      <c r="D33" s="4"/>
      <c r="E33" s="4"/>
      <c r="F33" s="4"/>
      <c r="G33" s="4"/>
      <c r="H33" s="4"/>
      <c r="I33" s="4"/>
      <c r="J33" s="4"/>
      <c r="K33" s="4"/>
      <c r="L33" s="83" t="str">
        <f>"@ "&amp;TEXT(B32,"0.00%")</f>
        <v>@ 8.00%</v>
      </c>
      <c r="M33" s="84"/>
      <c r="N33" s="85">
        <f t="shared" si="2"/>
        <v>0.3557066475689685</v>
      </c>
      <c r="O33" s="85">
        <f t="shared" si="2"/>
        <v>0.26903720590754393</v>
      </c>
      <c r="P33" s="85">
        <f t="shared" si="2"/>
        <v>0.21632797276901253</v>
      </c>
    </row>
    <row r="34" spans="2:16" ht="12">
      <c r="B34" s="4"/>
      <c r="C34" s="4"/>
      <c r="D34" s="4"/>
      <c r="E34" s="4"/>
      <c r="F34" s="4"/>
      <c r="G34" s="4"/>
      <c r="H34" s="4"/>
      <c r="I34" s="4"/>
      <c r="J34" s="4"/>
      <c r="K34" s="4"/>
      <c r="L34" s="112" t="s">
        <v>129</v>
      </c>
      <c r="M34" s="113"/>
      <c r="N34" s="86"/>
      <c r="O34" s="36"/>
      <c r="P34" s="87"/>
    </row>
    <row r="35" spans="2:16" ht="12">
      <c r="B35" s="366" t="s">
        <v>114</v>
      </c>
      <c r="C35" s="367"/>
      <c r="D35" s="367"/>
      <c r="E35" s="367"/>
      <c r="F35" s="368"/>
      <c r="G35" s="367"/>
      <c r="H35" s="367"/>
      <c r="I35" s="367"/>
      <c r="J35" s="369"/>
      <c r="K35" s="4"/>
      <c r="L35" s="83" t="str">
        <f>"@ "&amp;TEXT(B30,"0.00%")</f>
        <v>@ 6.00%</v>
      </c>
      <c r="M35" s="84"/>
      <c r="N35" s="85">
        <f aca="true" t="shared" si="3" ref="N35:P37">J14/C30</f>
        <v>0.6624250653541068</v>
      </c>
      <c r="O35" s="85">
        <f t="shared" si="3"/>
        <v>0.7464154473012407</v>
      </c>
      <c r="P35" s="85">
        <f t="shared" si="3"/>
        <v>0.7969382550340772</v>
      </c>
    </row>
    <row r="36" spans="2:16" ht="12">
      <c r="B36" s="55"/>
      <c r="C36" s="358" t="s">
        <v>109</v>
      </c>
      <c r="D36" s="358"/>
      <c r="E36" s="345"/>
      <c r="F36" s="60"/>
      <c r="G36" s="54"/>
      <c r="H36" s="359" t="s">
        <v>110</v>
      </c>
      <c r="I36" s="359"/>
      <c r="J36" s="359"/>
      <c r="K36" s="4"/>
      <c r="L36" s="83" t="str">
        <f>"@ "&amp;TEXT(B31,"0.00%")</f>
        <v>@ 7.00%</v>
      </c>
      <c r="M36" s="84"/>
      <c r="N36" s="85">
        <f t="shared" si="3"/>
        <v>0.6534400926995184</v>
      </c>
      <c r="O36" s="85">
        <f t="shared" si="3"/>
        <v>0.7387844494744907</v>
      </c>
      <c r="P36" s="85">
        <f t="shared" si="3"/>
        <v>0.790400687130633</v>
      </c>
    </row>
    <row r="37" spans="2:16" ht="12">
      <c r="B37" s="55"/>
      <c r="C37" s="63">
        <f>D37-ebitda_multiple_range</f>
        <v>4</v>
      </c>
      <c r="D37" s="63">
        <f>D29</f>
        <v>6</v>
      </c>
      <c r="E37" s="64">
        <f>D37+ebitda_multiple_range</f>
        <v>8</v>
      </c>
      <c r="F37" s="61"/>
      <c r="G37" s="54"/>
      <c r="H37" s="65">
        <f>I37-perpetuity_growth_range</f>
        <v>0.024999999999999998</v>
      </c>
      <c r="I37" s="65">
        <f>I29</f>
        <v>0.03</v>
      </c>
      <c r="J37" s="65">
        <f>I37+perpetuity_growth_range</f>
        <v>0.034999999999999996</v>
      </c>
      <c r="K37" s="4"/>
      <c r="L37" s="83" t="str">
        <f>"@ "&amp;TEXT(B32,"0.00%")</f>
        <v>@ 8.00%</v>
      </c>
      <c r="M37" s="84"/>
      <c r="N37" s="85">
        <f t="shared" si="3"/>
        <v>0.6442933524310315</v>
      </c>
      <c r="O37" s="85">
        <f t="shared" si="3"/>
        <v>0.730962794092456</v>
      </c>
      <c r="P37" s="85">
        <f t="shared" si="3"/>
        <v>0.7836720272309874</v>
      </c>
    </row>
    <row r="38" spans="2:16" ht="12">
      <c r="B38" s="65">
        <f>B39-discount_rate_range</f>
        <v>0.060000000000000005</v>
      </c>
      <c r="C38" s="81">
        <f>C30-Input!$N$56</f>
        <v>1792941.2420811644</v>
      </c>
      <c r="D38" s="81">
        <f>D30-Input!$N$56</f>
        <v>2580011.1032191436</v>
      </c>
      <c r="E38" s="81">
        <f>E30-Input!$N$56</f>
        <v>3367080.9643571223</v>
      </c>
      <c r="F38" s="61"/>
      <c r="G38" s="66">
        <f>G39-discount_rate_range</f>
        <v>0.060000000000000005</v>
      </c>
      <c r="H38" s="81">
        <f>H30-Input!$N$56</f>
        <v>2056801.2021360085</v>
      </c>
      <c r="I38" s="81">
        <f>I30-Input!$N$56</f>
        <v>2373594.643318228</v>
      </c>
      <c r="J38" s="81">
        <f>J30-Input!$N$56</f>
        <v>2817105.4609733345</v>
      </c>
      <c r="K38" s="4"/>
      <c r="L38" s="88"/>
      <c r="M38" s="86"/>
      <c r="N38" s="86"/>
      <c r="O38" s="36"/>
      <c r="P38" s="87"/>
    </row>
    <row r="39" spans="2:16" ht="12">
      <c r="B39" s="65">
        <f>B31</f>
        <v>0.07</v>
      </c>
      <c r="C39" s="81">
        <f>C31-Input!$N$56</f>
        <v>1609712.2039867812</v>
      </c>
      <c r="D39" s="81">
        <f>D31-Input!$N$56</f>
        <v>2326241.840922985</v>
      </c>
      <c r="E39" s="81">
        <f>E31-Input!$N$56</f>
        <v>3042771.4778591897</v>
      </c>
      <c r="F39" s="61"/>
      <c r="G39" s="66">
        <f>B31</f>
        <v>0.07</v>
      </c>
      <c r="H39" s="81">
        <f>H31-Input!$N$56</f>
        <v>1478086.000723943</v>
      </c>
      <c r="I39" s="81">
        <f>I31-Input!$N$56</f>
        <v>1647907.145303485</v>
      </c>
      <c r="J39" s="81">
        <f>J31-Input!$N$56</f>
        <v>1866248.6169057526</v>
      </c>
      <c r="K39" s="4"/>
      <c r="L39" s="88"/>
      <c r="M39" s="86"/>
      <c r="N39" s="360" t="str">
        <f>H28</f>
        <v>Perpetuity Growth Method</v>
      </c>
      <c r="O39" s="361"/>
      <c r="P39" s="362"/>
    </row>
    <row r="40" spans="2:16" ht="12">
      <c r="B40" s="65">
        <f>B39+discount_rate_range</f>
        <v>0.08</v>
      </c>
      <c r="C40" s="81">
        <f>C32-Input!$N$56</f>
        <v>1443271.7043679059</v>
      </c>
      <c r="D40" s="81">
        <f>D32-Input!$N$56</f>
        <v>2096153.2308766088</v>
      </c>
      <c r="E40" s="81">
        <f>E32-Input!$N$56</f>
        <v>2749034.757385311</v>
      </c>
      <c r="F40" s="62"/>
      <c r="G40" s="66">
        <f>G39+discount_rate_range</f>
        <v>0.08</v>
      </c>
      <c r="H40" s="81">
        <f>H32-Input!$N$56</f>
        <v>1107732.3637219304</v>
      </c>
      <c r="I40" s="81">
        <f>I32-Input!$N$56</f>
        <v>1209960.8134157006</v>
      </c>
      <c r="J40" s="81">
        <f>J32-Input!$N$56</f>
        <v>1334906.6963747526</v>
      </c>
      <c r="K40" s="4"/>
      <c r="L40" s="112" t="s">
        <v>128</v>
      </c>
      <c r="M40" s="113"/>
      <c r="N40" s="65">
        <f>H29</f>
        <v>0.024999999999999998</v>
      </c>
      <c r="O40" s="65">
        <f>I29</f>
        <v>0.03</v>
      </c>
      <c r="P40" s="65">
        <f>J29</f>
        <v>0.034999999999999996</v>
      </c>
    </row>
    <row r="41" spans="3:16" ht="12">
      <c r="C41" s="4"/>
      <c r="D41" s="4"/>
      <c r="E41" s="4"/>
      <c r="F41" s="4"/>
      <c r="G41" s="4"/>
      <c r="H41" s="4"/>
      <c r="I41" s="4"/>
      <c r="J41" s="4"/>
      <c r="K41" s="4"/>
      <c r="L41" s="83" t="str">
        <f>"@ "&amp;TEXT(B30,"0.00%")</f>
        <v>@ 6.00%</v>
      </c>
      <c r="M41" s="84"/>
      <c r="N41" s="85">
        <f aca="true" t="shared" si="4" ref="N41:P43">$D7/H30</f>
        <v>0.30383775945871083</v>
      </c>
      <c r="O41" s="85">
        <f t="shared" si="4"/>
        <v>0.2712863929928966</v>
      </c>
      <c r="P41" s="85">
        <f t="shared" si="4"/>
        <v>0.23590374366650452</v>
      </c>
    </row>
    <row r="42" spans="3:16" ht="12">
      <c r="C42" s="4"/>
      <c r="D42" s="4"/>
      <c r="E42" s="4"/>
      <c r="F42" s="4"/>
      <c r="G42" s="4"/>
      <c r="H42" s="4"/>
      <c r="I42" s="4"/>
      <c r="J42" s="4"/>
      <c r="K42" s="4"/>
      <c r="L42" s="83" t="str">
        <f>"@ "&amp;TEXT(B31,"0.00%")</f>
        <v>@ 7.00%</v>
      </c>
      <c r="M42" s="84"/>
      <c r="N42" s="85">
        <f t="shared" si="4"/>
        <v>0.36868794570847657</v>
      </c>
      <c r="O42" s="85">
        <f t="shared" si="4"/>
        <v>0.34062755078722334</v>
      </c>
      <c r="P42" s="85">
        <f t="shared" si="4"/>
        <v>0.3102666656770289</v>
      </c>
    </row>
    <row r="43" spans="2:16" ht="12">
      <c r="B43" s="366" t="s">
        <v>117</v>
      </c>
      <c r="C43" s="367"/>
      <c r="D43" s="367"/>
      <c r="E43" s="367"/>
      <c r="F43" s="368"/>
      <c r="G43" s="367"/>
      <c r="H43" s="367"/>
      <c r="I43" s="367"/>
      <c r="J43" s="369"/>
      <c r="K43" s="4"/>
      <c r="L43" s="83" t="str">
        <f>"@ "&amp;TEXT(B32,"0.00%")</f>
        <v>@ 8.00%</v>
      </c>
      <c r="M43" s="84"/>
      <c r="N43" s="85">
        <f t="shared" si="4"/>
        <v>0.42628329713063867</v>
      </c>
      <c r="O43" s="85">
        <f t="shared" si="4"/>
        <v>0.4019833436469718</v>
      </c>
      <c r="P43" s="85">
        <f t="shared" si="4"/>
        <v>0.3758006215693459</v>
      </c>
    </row>
    <row r="44" spans="2:16" ht="12">
      <c r="B44" s="55"/>
      <c r="C44" s="358" t="s">
        <v>109</v>
      </c>
      <c r="D44" s="358"/>
      <c r="E44" s="345"/>
      <c r="F44" s="60"/>
      <c r="G44" s="54"/>
      <c r="H44" s="359" t="s">
        <v>110</v>
      </c>
      <c r="I44" s="359"/>
      <c r="J44" s="359"/>
      <c r="K44" s="4"/>
      <c r="L44" s="112" t="s">
        <v>129</v>
      </c>
      <c r="M44" s="113"/>
      <c r="N44" s="86"/>
      <c r="O44" s="36"/>
      <c r="P44" s="87"/>
    </row>
    <row r="45" spans="2:16" ht="12">
      <c r="B45" s="55"/>
      <c r="C45" s="63">
        <f>D45-ebitda_multiple_range</f>
        <v>4</v>
      </c>
      <c r="D45" s="63">
        <f>D29</f>
        <v>6</v>
      </c>
      <c r="E45" s="64">
        <f>D45+ebitda_multiple_range</f>
        <v>8</v>
      </c>
      <c r="F45" s="61"/>
      <c r="G45" s="54"/>
      <c r="H45" s="65">
        <f>I45-perpetuity_growth_range</f>
        <v>0.024999999999999998</v>
      </c>
      <c r="I45" s="65">
        <f>I29</f>
        <v>0.03</v>
      </c>
      <c r="J45" s="65">
        <f>I45+perpetuity_growth_range</f>
        <v>0.034999999999999996</v>
      </c>
      <c r="K45" s="4"/>
      <c r="L45" s="83" t="str">
        <f>"@ "&amp;TEXT(B30,"0.00%")</f>
        <v>@ 6.00%</v>
      </c>
      <c r="M45" s="84"/>
      <c r="N45" s="85">
        <f aca="true" t="shared" si="5" ref="N45:P47">J21/H30</f>
        <v>0.6961622405412892</v>
      </c>
      <c r="O45" s="85">
        <f t="shared" si="5"/>
        <v>0.7287136070071034</v>
      </c>
      <c r="P45" s="85">
        <f t="shared" si="5"/>
        <v>0.7640962563334954</v>
      </c>
    </row>
    <row r="46" spans="2:16" ht="12">
      <c r="B46" s="65">
        <f>B47-discount_rate_range</f>
        <v>0.060000000000000005</v>
      </c>
      <c r="C46" s="82">
        <f aca="true" t="shared" si="6" ref="C46:E48">IF(no_shares_outs=0,0,C38/no_shares_outs)</f>
        <v>17.929412420811644</v>
      </c>
      <c r="D46" s="82">
        <f t="shared" si="6"/>
        <v>25.800111032191435</v>
      </c>
      <c r="E46" s="82">
        <f t="shared" si="6"/>
        <v>33.670809643571225</v>
      </c>
      <c r="F46" s="61"/>
      <c r="G46" s="66">
        <f>G47-discount_rate_range</f>
        <v>0.060000000000000005</v>
      </c>
      <c r="H46" s="82">
        <f aca="true" t="shared" si="7" ref="H46:J48">IF(no_shares_outs=0,0,H38/no_shares_outs)</f>
        <v>20.568012021360087</v>
      </c>
      <c r="I46" s="82">
        <f t="shared" si="7"/>
        <v>23.735946433182278</v>
      </c>
      <c r="J46" s="82">
        <f t="shared" si="7"/>
        <v>28.171054609733346</v>
      </c>
      <c r="K46" s="4"/>
      <c r="L46" s="83" t="str">
        <f>"@ "&amp;TEXT(B31,"0.00%")</f>
        <v>@ 7.00%</v>
      </c>
      <c r="M46" s="84"/>
      <c r="N46" s="85">
        <f t="shared" si="5"/>
        <v>0.6313120542915235</v>
      </c>
      <c r="O46" s="85">
        <f t="shared" si="5"/>
        <v>0.6593724492127767</v>
      </c>
      <c r="P46" s="85">
        <f t="shared" si="5"/>
        <v>0.6897333343229712</v>
      </c>
    </row>
    <row r="47" spans="2:16" ht="12">
      <c r="B47" s="65">
        <f>B31</f>
        <v>0.07</v>
      </c>
      <c r="C47" s="82">
        <f t="shared" si="6"/>
        <v>16.097122039867813</v>
      </c>
      <c r="D47" s="82">
        <f t="shared" si="6"/>
        <v>23.262418409229852</v>
      </c>
      <c r="E47" s="82">
        <f t="shared" si="6"/>
        <v>30.4277147785919</v>
      </c>
      <c r="F47" s="61"/>
      <c r="G47" s="66">
        <f>B31</f>
        <v>0.07</v>
      </c>
      <c r="H47" s="82">
        <f t="shared" si="7"/>
        <v>14.780860007239431</v>
      </c>
      <c r="I47" s="82">
        <f t="shared" si="7"/>
        <v>16.479071453034848</v>
      </c>
      <c r="J47" s="82">
        <f t="shared" si="7"/>
        <v>18.662486169057527</v>
      </c>
      <c r="K47" s="4"/>
      <c r="L47" s="83" t="str">
        <f>"@ "&amp;TEXT(B32,"0.00%")</f>
        <v>@ 8.00%</v>
      </c>
      <c r="M47" s="84"/>
      <c r="N47" s="85">
        <f t="shared" si="5"/>
        <v>0.5737167028693613</v>
      </c>
      <c r="O47" s="85">
        <f t="shared" si="5"/>
        <v>0.5980166563530283</v>
      </c>
      <c r="P47" s="85">
        <f t="shared" si="5"/>
        <v>0.6241993784306542</v>
      </c>
    </row>
    <row r="48" spans="2:14" ht="12">
      <c r="B48" s="65">
        <f>B47+discount_rate_range</f>
        <v>0.08</v>
      </c>
      <c r="C48" s="82">
        <f t="shared" si="6"/>
        <v>14.432717043679059</v>
      </c>
      <c r="D48" s="82">
        <f t="shared" si="6"/>
        <v>20.96153230876609</v>
      </c>
      <c r="E48" s="82">
        <f t="shared" si="6"/>
        <v>27.49034757385311</v>
      </c>
      <c r="F48" s="62"/>
      <c r="G48" s="66">
        <f>G47+discount_rate_range</f>
        <v>0.08</v>
      </c>
      <c r="H48" s="82">
        <f t="shared" si="7"/>
        <v>11.077323637219305</v>
      </c>
      <c r="I48" s="82">
        <f t="shared" si="7"/>
        <v>12.099608134157005</v>
      </c>
      <c r="J48" s="82">
        <f t="shared" si="7"/>
        <v>13.349066963747525</v>
      </c>
      <c r="K48" s="4"/>
      <c r="L48" s="4"/>
      <c r="M48" s="4"/>
      <c r="N48" s="4"/>
    </row>
    <row r="49" spans="3:14" ht="12">
      <c r="C49" s="4"/>
      <c r="D49" s="4"/>
      <c r="E49" s="4"/>
      <c r="F49" s="4"/>
      <c r="G49" s="4"/>
      <c r="H49" s="4"/>
      <c r="I49" s="4"/>
      <c r="J49" s="4"/>
      <c r="K49" s="4"/>
      <c r="L49" s="4"/>
      <c r="M49" s="4"/>
      <c r="N49" s="4"/>
    </row>
    <row r="50" spans="3:14" ht="12">
      <c r="C50" s="4"/>
      <c r="D50" s="4"/>
      <c r="E50" s="4"/>
      <c r="F50" s="4"/>
      <c r="G50" s="4"/>
      <c r="H50" s="4"/>
      <c r="I50" s="4"/>
      <c r="J50" s="4"/>
      <c r="K50" s="4"/>
      <c r="L50" s="4"/>
      <c r="M50" s="4"/>
      <c r="N50" s="4"/>
    </row>
    <row r="51" spans="3:14" ht="12">
      <c r="C51" s="4"/>
      <c r="D51" s="4"/>
      <c r="E51" s="4"/>
      <c r="F51" s="4"/>
      <c r="G51" s="4"/>
      <c r="H51" s="4"/>
      <c r="I51" s="4"/>
      <c r="J51" s="4"/>
      <c r="K51" s="4"/>
      <c r="L51" s="4"/>
      <c r="M51" s="4"/>
      <c r="N51" s="4"/>
    </row>
    <row r="52" spans="3:14" ht="12">
      <c r="C52" s="4"/>
      <c r="D52" s="4"/>
      <c r="E52" s="4"/>
      <c r="F52" s="4"/>
      <c r="G52" s="4"/>
      <c r="H52" s="4"/>
      <c r="I52" s="4"/>
      <c r="J52" s="4"/>
      <c r="K52" s="4"/>
      <c r="L52" s="4"/>
      <c r="M52" s="4"/>
      <c r="N52" s="4"/>
    </row>
    <row r="53" spans="3:14" ht="12">
      <c r="C53" s="4"/>
      <c r="D53" s="4"/>
      <c r="E53" s="4"/>
      <c r="F53" s="4"/>
      <c r="G53" s="4"/>
      <c r="H53" s="4"/>
      <c r="I53" s="4"/>
      <c r="J53" s="4"/>
      <c r="K53" s="4"/>
      <c r="L53" s="4"/>
      <c r="M53" s="4"/>
      <c r="N53" s="4"/>
    </row>
  </sheetData>
  <sheetProtection/>
  <mergeCells count="17">
    <mergeCell ref="B43:J43"/>
    <mergeCell ref="C28:E28"/>
    <mergeCell ref="H28:J28"/>
    <mergeCell ref="B27:J27"/>
    <mergeCell ref="B35:J35"/>
    <mergeCell ref="B12:D12"/>
    <mergeCell ref="H12:L12"/>
    <mergeCell ref="C44:E44"/>
    <mergeCell ref="H44:J44"/>
    <mergeCell ref="C36:E36"/>
    <mergeCell ref="H36:J36"/>
    <mergeCell ref="N39:P39"/>
    <mergeCell ref="B5:D5"/>
    <mergeCell ref="L27:P27"/>
    <mergeCell ref="B19:F19"/>
    <mergeCell ref="H19:L19"/>
    <mergeCell ref="N29:P29"/>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AV103"/>
  <sheetViews>
    <sheetView zoomScalePageLayoutView="0" workbookViewId="0" topLeftCell="A1">
      <selection activeCell="D3" sqref="D3"/>
    </sheetView>
  </sheetViews>
  <sheetFormatPr defaultColWidth="9.140625" defaultRowHeight="12.75"/>
  <cols>
    <col min="1" max="1" width="23.8515625" style="8" customWidth="1"/>
    <col min="2" max="2" width="9.7109375" style="8" customWidth="1"/>
    <col min="3" max="13" width="10.7109375" style="8" customWidth="1"/>
    <col min="14" max="18" width="10.28125" style="8" customWidth="1"/>
    <col min="19" max="16384" width="9.140625" style="8" customWidth="1"/>
  </cols>
  <sheetData>
    <row r="2" ht="15">
      <c r="A2" s="92" t="s">
        <v>309</v>
      </c>
    </row>
    <row r="4" spans="1:3" ht="12">
      <c r="A4" s="48" t="s">
        <v>166</v>
      </c>
      <c r="B4" s="188">
        <v>2018</v>
      </c>
      <c r="C4" s="198">
        <f>IF(exit_year&gt;0,HLOOKUP(exit_year,Inc_St!D4:M5,2,FALSE),0)</f>
        <v>9</v>
      </c>
    </row>
    <row r="6" spans="1:12" ht="12">
      <c r="A6" s="210" t="s">
        <v>310</v>
      </c>
      <c r="B6" s="216"/>
      <c r="C6" s="205" t="s">
        <v>164</v>
      </c>
      <c r="D6" s="205" t="s">
        <v>312</v>
      </c>
      <c r="E6" s="205" t="s">
        <v>323</v>
      </c>
      <c r="F6" s="205" t="s">
        <v>313</v>
      </c>
      <c r="G6" s="206" t="s">
        <v>324</v>
      </c>
      <c r="I6" s="211" t="s">
        <v>315</v>
      </c>
      <c r="J6" s="212"/>
      <c r="K6" s="213"/>
      <c r="L6" s="215"/>
    </row>
    <row r="7" spans="1:12" ht="12">
      <c r="A7" s="103"/>
      <c r="B7" s="36"/>
      <c r="C7" s="36"/>
      <c r="D7" s="36"/>
      <c r="E7" s="36"/>
      <c r="F7" s="36"/>
      <c r="G7" s="209"/>
      <c r="I7" s="103"/>
      <c r="J7" s="36"/>
      <c r="K7" s="36"/>
      <c r="L7" s="87"/>
    </row>
    <row r="8" spans="1:12" ht="12">
      <c r="A8" s="30" t="str">
        <f>Input!A37</f>
        <v>Common - Sponsor Equity</v>
      </c>
      <c r="B8" s="31"/>
      <c r="C8" s="81">
        <f>Input!C37</f>
        <v>220000</v>
      </c>
      <c r="D8" s="207">
        <f>C8/SUM($C$8:$C$10)</f>
        <v>0.7719298245614035</v>
      </c>
      <c r="E8" s="207">
        <v>0</v>
      </c>
      <c r="F8" s="207">
        <f>D8*(1-$E$16)</f>
        <v>0.6329824561403508</v>
      </c>
      <c r="G8" s="59">
        <f aca="true" t="shared" si="0" ref="G8:G14">F8*$L$16</f>
        <v>2565228.230547315</v>
      </c>
      <c r="I8" s="30" t="s">
        <v>316</v>
      </c>
      <c r="J8" s="107"/>
      <c r="K8" s="31"/>
      <c r="L8" s="288">
        <f>ebitda_multiple</f>
        <v>6</v>
      </c>
    </row>
    <row r="9" spans="1:12" ht="12">
      <c r="A9" s="30" t="str">
        <f>Input!A38</f>
        <v>Management Equity</v>
      </c>
      <c r="B9" s="31"/>
      <c r="C9" s="59">
        <f>Input!C38</f>
        <v>40000</v>
      </c>
      <c r="D9" s="207">
        <f>C9/SUM($C$8:$C$10)</f>
        <v>0.14035087719298245</v>
      </c>
      <c r="E9" s="207">
        <v>0</v>
      </c>
      <c r="F9" s="207">
        <f>D9*(1-$E$16)</f>
        <v>0.1150877192982456</v>
      </c>
      <c r="G9" s="59">
        <f t="shared" si="0"/>
        <v>466405.13282678457</v>
      </c>
      <c r="I9" s="30" t="s">
        <v>317</v>
      </c>
      <c r="J9" s="107"/>
      <c r="K9" s="31"/>
      <c r="L9" s="59">
        <f ca="1">IF($C$4&gt;0,OFFSET(Inc_St!C18,0,$C$4,1,1),0)</f>
        <v>645545.4458706116</v>
      </c>
    </row>
    <row r="10" spans="1:12" ht="12">
      <c r="A10" s="30" t="str">
        <f>Input!A39</f>
        <v>New Equity</v>
      </c>
      <c r="B10" s="31"/>
      <c r="C10" s="59">
        <f>Input!C39</f>
        <v>25000</v>
      </c>
      <c r="D10" s="207">
        <f>C10/SUM($C$8:$C$10)</f>
        <v>0.08771929824561403</v>
      </c>
      <c r="E10" s="186">
        <v>0.02</v>
      </c>
      <c r="F10" s="207">
        <f>D10*(1-$E$16)+E10</f>
        <v>0.0919298245614035</v>
      </c>
      <c r="G10" s="59">
        <f t="shared" si="0"/>
        <v>372555.319514078</v>
      </c>
      <c r="I10" s="39" t="s">
        <v>318</v>
      </c>
      <c r="J10" s="107"/>
      <c r="K10" s="31"/>
      <c r="L10" s="214">
        <f>L8*L9</f>
        <v>3873272.6752236695</v>
      </c>
    </row>
    <row r="11" spans="1:12" ht="12">
      <c r="A11" s="30" t="str">
        <f>Input!A31</f>
        <v>Subordinated Notes</v>
      </c>
      <c r="B11" s="31"/>
      <c r="C11" s="59">
        <f>Input!C31</f>
        <v>40000</v>
      </c>
      <c r="D11" s="101" t="s">
        <v>314</v>
      </c>
      <c r="E11" s="186">
        <v>0.03</v>
      </c>
      <c r="F11" s="207">
        <f>E11</f>
        <v>0.03</v>
      </c>
      <c r="G11" s="59">
        <f t="shared" si="0"/>
        <v>121578.16724600636</v>
      </c>
      <c r="I11" s="103"/>
      <c r="J11" s="36"/>
      <c r="K11" s="36"/>
      <c r="L11" s="209"/>
    </row>
    <row r="12" spans="1:12" ht="12">
      <c r="A12" s="30" t="str">
        <f>Input!A32</f>
        <v>Mezzanine Debt</v>
      </c>
      <c r="B12" s="31"/>
      <c r="C12" s="59">
        <f>Input!C32</f>
        <v>70000</v>
      </c>
      <c r="D12" s="101" t="s">
        <v>314</v>
      </c>
      <c r="E12" s="186">
        <v>0.05</v>
      </c>
      <c r="F12" s="207">
        <f>E12</f>
        <v>0.05</v>
      </c>
      <c r="G12" s="59">
        <f t="shared" si="0"/>
        <v>202630.27874334395</v>
      </c>
      <c r="I12" s="30" t="s">
        <v>319</v>
      </c>
      <c r="J12" s="107"/>
      <c r="K12" s="31"/>
      <c r="L12" s="59">
        <f ca="1">IF($C$4&gt;0,OFFSET(Bal_Sheet!$E54,0,$C$4,1,1),0)</f>
        <v>-3.4924596548080444E-10</v>
      </c>
    </row>
    <row r="13" spans="1:12" ht="12">
      <c r="A13" s="30" t="str">
        <f>Input!A35</f>
        <v>Preferred Stock</v>
      </c>
      <c r="B13" s="31"/>
      <c r="C13" s="59">
        <f>Input!C35</f>
        <v>60000</v>
      </c>
      <c r="D13" s="101" t="s">
        <v>314</v>
      </c>
      <c r="E13" s="186">
        <v>0.04</v>
      </c>
      <c r="F13" s="207">
        <f>E13</f>
        <v>0.04</v>
      </c>
      <c r="G13" s="59">
        <f t="shared" si="0"/>
        <v>162104.22299467516</v>
      </c>
      <c r="I13" s="30" t="s">
        <v>320</v>
      </c>
      <c r="J13" s="107"/>
      <c r="K13" s="31"/>
      <c r="L13" s="59">
        <f ca="1">IF($C$4&gt;0,OFFSET(Bal_Sheet!$E61,0,$C$4,1,1),0)</f>
        <v>84153.10384200001</v>
      </c>
    </row>
    <row r="14" spans="1:12" ht="12">
      <c r="A14" s="30" t="s">
        <v>311</v>
      </c>
      <c r="B14" s="31"/>
      <c r="C14" s="208" t="s">
        <v>314</v>
      </c>
      <c r="D14" s="101" t="s">
        <v>314</v>
      </c>
      <c r="E14" s="186">
        <v>0.04</v>
      </c>
      <c r="F14" s="207">
        <f>E14</f>
        <v>0.04</v>
      </c>
      <c r="G14" s="59">
        <f t="shared" si="0"/>
        <v>162104.22299467516</v>
      </c>
      <c r="I14" s="30" t="s">
        <v>321</v>
      </c>
      <c r="J14" s="107"/>
      <c r="K14" s="31"/>
      <c r="L14" s="59">
        <f ca="1">IF($C$4&gt;0,OFFSET(Bal_Sheet!$E10,0,$C$4,1,1),0)</f>
        <v>263486.0034852091</v>
      </c>
    </row>
    <row r="15" spans="1:12" ht="12">
      <c r="A15" s="103"/>
      <c r="B15" s="36"/>
      <c r="C15" s="86"/>
      <c r="D15" s="36"/>
      <c r="E15" s="104"/>
      <c r="F15" s="104"/>
      <c r="G15" s="209"/>
      <c r="I15" s="103"/>
      <c r="J15" s="36"/>
      <c r="K15" s="36"/>
      <c r="L15" s="209"/>
    </row>
    <row r="16" spans="1:12" ht="12">
      <c r="A16" s="30" t="s">
        <v>101</v>
      </c>
      <c r="B16" s="31"/>
      <c r="C16" s="59">
        <f>SUM(C8:C15)</f>
        <v>455000</v>
      </c>
      <c r="D16" s="207">
        <f>SUM(D8:D15)</f>
        <v>1</v>
      </c>
      <c r="E16" s="207">
        <f>SUM(E8:E15)</f>
        <v>0.18000000000000002</v>
      </c>
      <c r="F16" s="207">
        <f>SUM(F8:F15)</f>
        <v>1</v>
      </c>
      <c r="G16" s="59">
        <f>SUM(G8:G15)</f>
        <v>4052605.574866878</v>
      </c>
      <c r="I16" s="39" t="s">
        <v>322</v>
      </c>
      <c r="J16" s="107"/>
      <c r="K16" s="31"/>
      <c r="L16" s="59">
        <f>SUM(L10,-L12,-L13,L14)</f>
        <v>4052605.574866879</v>
      </c>
    </row>
    <row r="17" spans="3:13" ht="12">
      <c r="C17" s="4"/>
      <c r="G17" s="4"/>
      <c r="M17" s="202"/>
    </row>
    <row r="18" spans="3:7" ht="12">
      <c r="C18" s="4"/>
      <c r="G18" s="4"/>
    </row>
    <row r="19" spans="3:7" ht="12">
      <c r="C19" s="4"/>
      <c r="G19" s="4"/>
    </row>
    <row r="20" spans="3:7" ht="12.75" thickBot="1">
      <c r="C20" s="4"/>
      <c r="G20" s="4"/>
    </row>
    <row r="21" spans="1:13" ht="12">
      <c r="A21" s="224" t="s">
        <v>327</v>
      </c>
      <c r="B21" s="225"/>
      <c r="C21" s="226" t="s">
        <v>102</v>
      </c>
      <c r="D21" s="227">
        <f>year1</f>
        <v>2010</v>
      </c>
      <c r="E21" s="227">
        <f>D21+1</f>
        <v>2011</v>
      </c>
      <c r="F21" s="227">
        <f aca="true" t="shared" si="1" ref="F21:M22">E21+1</f>
        <v>2012</v>
      </c>
      <c r="G21" s="227">
        <f t="shared" si="1"/>
        <v>2013</v>
      </c>
      <c r="H21" s="227">
        <f t="shared" si="1"/>
        <v>2014</v>
      </c>
      <c r="I21" s="227">
        <f t="shared" si="1"/>
        <v>2015</v>
      </c>
      <c r="J21" s="227">
        <f t="shared" si="1"/>
        <v>2016</v>
      </c>
      <c r="K21" s="227">
        <f t="shared" si="1"/>
        <v>2017</v>
      </c>
      <c r="L21" s="227">
        <f t="shared" si="1"/>
        <v>2018</v>
      </c>
      <c r="M21" s="228">
        <f t="shared" si="1"/>
        <v>2019</v>
      </c>
    </row>
    <row r="22" spans="1:48" ht="12">
      <c r="A22" s="229"/>
      <c r="B22" s="36"/>
      <c r="C22" s="199">
        <f>D22-1</f>
        <v>0</v>
      </c>
      <c r="D22" s="145">
        <v>1</v>
      </c>
      <c r="E22" s="145">
        <f>D22+1</f>
        <v>2</v>
      </c>
      <c r="F22" s="145">
        <f t="shared" si="1"/>
        <v>3</v>
      </c>
      <c r="G22" s="145">
        <f t="shared" si="1"/>
        <v>4</v>
      </c>
      <c r="H22" s="145">
        <f t="shared" si="1"/>
        <v>5</v>
      </c>
      <c r="I22" s="145">
        <f t="shared" si="1"/>
        <v>6</v>
      </c>
      <c r="J22" s="145">
        <f t="shared" si="1"/>
        <v>7</v>
      </c>
      <c r="K22" s="145">
        <f t="shared" si="1"/>
        <v>8</v>
      </c>
      <c r="L22" s="145">
        <f t="shared" si="1"/>
        <v>9</v>
      </c>
      <c r="M22" s="230">
        <f t="shared" si="1"/>
        <v>10</v>
      </c>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row>
    <row r="23" spans="1:48" ht="12">
      <c r="A23" s="229"/>
      <c r="B23" s="36"/>
      <c r="C23" s="36"/>
      <c r="D23" s="231"/>
      <c r="E23" s="231"/>
      <c r="F23" s="231"/>
      <c r="G23" s="231"/>
      <c r="H23" s="231"/>
      <c r="I23" s="231"/>
      <c r="J23" s="231"/>
      <c r="K23" s="231"/>
      <c r="L23" s="231"/>
      <c r="M23" s="232"/>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row>
    <row r="24" spans="1:14" ht="12">
      <c r="A24" s="233" t="str">
        <f>A11</f>
        <v>Subordinated Notes</v>
      </c>
      <c r="B24" s="90"/>
      <c r="C24" s="75"/>
      <c r="D24" s="75"/>
      <c r="E24" s="75"/>
      <c r="F24" s="75"/>
      <c r="G24" s="75"/>
      <c r="H24" s="75"/>
      <c r="I24" s="75"/>
      <c r="J24" s="75"/>
      <c r="K24" s="75"/>
      <c r="L24" s="75"/>
      <c r="M24" s="234"/>
      <c r="N24" s="4"/>
    </row>
    <row r="25" spans="1:14" ht="12">
      <c r="A25" s="252" t="s">
        <v>325</v>
      </c>
      <c r="B25" s="36"/>
      <c r="C25" s="59">
        <f>-Bal_Sheet!E51</f>
        <v>-40000</v>
      </c>
      <c r="D25" s="59"/>
      <c r="E25" s="59"/>
      <c r="F25" s="59"/>
      <c r="G25" s="59"/>
      <c r="H25" s="59"/>
      <c r="I25" s="59"/>
      <c r="J25" s="59"/>
      <c r="K25" s="59"/>
      <c r="L25" s="59"/>
      <c r="M25" s="235"/>
      <c r="N25" s="4"/>
    </row>
    <row r="26" spans="1:14" ht="12">
      <c r="A26" s="252" t="s">
        <v>326</v>
      </c>
      <c r="B26" s="36"/>
      <c r="C26" s="59"/>
      <c r="D26" s="59">
        <f>IF($C$4&gt;=D$22,Inc_St!D$30-Cash_Flow!D$15,0)</f>
        <v>0</v>
      </c>
      <c r="E26" s="59">
        <f>IF($C$4&gt;=E$22,Inc_St!E$30-Cash_Flow!E$15,0)</f>
        <v>0</v>
      </c>
      <c r="F26" s="59">
        <f>IF($C$4&gt;=F$22,Inc_St!F$30-Cash_Flow!F$15,0)</f>
        <v>0</v>
      </c>
      <c r="G26" s="59">
        <f>IF($C$4&gt;=G$22,Inc_St!G$30-Cash_Flow!G$15,0)</f>
        <v>0</v>
      </c>
      <c r="H26" s="59">
        <f>IF($C$4&gt;=H$22,Inc_St!H$30-Cash_Flow!H$15,0)</f>
        <v>0</v>
      </c>
      <c r="I26" s="59">
        <f>IF($C$4&gt;=I$22,Inc_St!I$30-Cash_Flow!I$15,0)</f>
        <v>96.59400665062498</v>
      </c>
      <c r="J26" s="59">
        <f>IF($C$4&gt;=J$22,Inc_St!J$30-Cash_Flow!J$15,0)</f>
        <v>0</v>
      </c>
      <c r="K26" s="59">
        <f>IF($C$4&gt;=K$22,Inc_St!K$30-Cash_Flow!K$15,0)</f>
        <v>0</v>
      </c>
      <c r="L26" s="59">
        <f>IF($C$4&gt;=L$22,Inc_St!L$30-Cash_Flow!L$15,0)</f>
        <v>0</v>
      </c>
      <c r="M26" s="235">
        <f>IF($C$4&gt;=M$22,Inc_St!M$30-Cash_Flow!M$15,0)</f>
        <v>0</v>
      </c>
      <c r="N26" s="4"/>
    </row>
    <row r="27" spans="1:14" ht="12">
      <c r="A27" s="252" t="s">
        <v>333</v>
      </c>
      <c r="B27" s="36"/>
      <c r="C27" s="59"/>
      <c r="D27" s="59">
        <f>IF($C$4&gt;=D$22,SUM(Cash_Flow!D$89,Cash_Flow!D$104),0)</f>
        <v>0</v>
      </c>
      <c r="E27" s="59">
        <f>IF($C$4&gt;=E$22,SUM(Cash_Flow!E$89,Cash_Flow!E$104),0)</f>
        <v>0</v>
      </c>
      <c r="F27" s="59">
        <f>IF($C$4&gt;=F$22,SUM(Cash_Flow!F$89,Cash_Flow!F$104),0)</f>
        <v>0</v>
      </c>
      <c r="G27" s="59">
        <f>IF($C$4&gt;=G$22,SUM(Cash_Flow!G$89,Cash_Flow!G$104),0)</f>
        <v>0</v>
      </c>
      <c r="H27" s="59">
        <f>IF($C$4&gt;=H$22,SUM(Cash_Flow!H$89,Cash_Flow!H$104),0)</f>
        <v>47700.744025</v>
      </c>
      <c r="I27" s="59">
        <f>IF($C$4&gt;=I$22,SUM(Cash_Flow!I$89,Cash_Flow!I$104),0)</f>
        <v>2146.5334811249995</v>
      </c>
      <c r="J27" s="59">
        <f>IF($C$4&gt;=J$22,SUM(Cash_Flow!J$89,Cash_Flow!J$104),0)</f>
        <v>0</v>
      </c>
      <c r="K27" s="59">
        <f>IF($C$4&gt;=K$22,SUM(Cash_Flow!K$89,Cash_Flow!K$104),0)</f>
        <v>0</v>
      </c>
      <c r="L27" s="59">
        <f>IF($C$4&gt;=L$22,SUM(Cash_Flow!L$89,Cash_Flow!L$104),0)</f>
        <v>0</v>
      </c>
      <c r="M27" s="235">
        <f>IF($C$4&gt;=M$22,SUM(Cash_Flow!M$89,Cash_Flow!M$104),0)</f>
        <v>0</v>
      </c>
      <c r="N27" s="4"/>
    </row>
    <row r="28" spans="1:14" ht="12">
      <c r="A28" s="252" t="s">
        <v>332</v>
      </c>
      <c r="B28" s="36"/>
      <c r="C28" s="59"/>
      <c r="D28" s="59">
        <f>IF($C$4=D$22,Bal_Sheet!F$51,0)</f>
        <v>0</v>
      </c>
      <c r="E28" s="59">
        <f>IF($C$4=E$22,Bal_Sheet!G$51,0)</f>
        <v>0</v>
      </c>
      <c r="F28" s="59">
        <f>IF($C$4=F$22,Bal_Sheet!H$51,0)</f>
        <v>0</v>
      </c>
      <c r="G28" s="59">
        <f>IF($C$4=G$22,Bal_Sheet!I$51,0)</f>
        <v>0</v>
      </c>
      <c r="H28" s="59">
        <f>IF($C$4=H$22,Bal_Sheet!J$51,0)</f>
        <v>0</v>
      </c>
      <c r="I28" s="59">
        <f>IF($C$4=I$22,Bal_Sheet!K$51,0)</f>
        <v>0</v>
      </c>
      <c r="J28" s="59">
        <f>IF($C$4=J$22,Bal_Sheet!L$51,0)</f>
        <v>0</v>
      </c>
      <c r="K28" s="59">
        <f>IF($C$4=K$22,Bal_Sheet!M$51,0)</f>
        <v>0</v>
      </c>
      <c r="L28" s="59">
        <f>IF($C$4=L$22,Bal_Sheet!N$51,0)</f>
        <v>0</v>
      </c>
      <c r="M28" s="235">
        <f>IF($C$4=M$22,Bal_Sheet!O$51,0)</f>
        <v>0</v>
      </c>
      <c r="N28" s="4"/>
    </row>
    <row r="29" spans="1:14" ht="12">
      <c r="A29" s="252" t="s">
        <v>328</v>
      </c>
      <c r="B29" s="36"/>
      <c r="C29" s="59"/>
      <c r="D29" s="59">
        <f aca="true" t="shared" si="2" ref="D29:M29">IF($C$4=D$22,$G$11,0)</f>
        <v>0</v>
      </c>
      <c r="E29" s="59">
        <f t="shared" si="2"/>
        <v>0</v>
      </c>
      <c r="F29" s="59">
        <f t="shared" si="2"/>
        <v>0</v>
      </c>
      <c r="G29" s="59">
        <f t="shared" si="2"/>
        <v>0</v>
      </c>
      <c r="H29" s="59">
        <f t="shared" si="2"/>
        <v>0</v>
      </c>
      <c r="I29" s="59">
        <f t="shared" si="2"/>
        <v>0</v>
      </c>
      <c r="J29" s="59">
        <f t="shared" si="2"/>
        <v>0</v>
      </c>
      <c r="K29" s="59">
        <f t="shared" si="2"/>
        <v>0</v>
      </c>
      <c r="L29" s="59">
        <f t="shared" si="2"/>
        <v>121578.16724600636</v>
      </c>
      <c r="M29" s="235">
        <f t="shared" si="2"/>
        <v>0</v>
      </c>
      <c r="N29" s="4"/>
    </row>
    <row r="30" spans="1:14" ht="12">
      <c r="A30" s="253" t="s">
        <v>165</v>
      </c>
      <c r="B30" s="218">
        <f>IF($C$4&gt;0,IRR($C30:$M30,),0)</f>
        <v>0.21407383549480097</v>
      </c>
      <c r="C30" s="59">
        <f>C25</f>
        <v>-40000</v>
      </c>
      <c r="D30" s="59">
        <f aca="true" t="shared" si="3" ref="D30:M30">SUM(D26:D29)</f>
        <v>0</v>
      </c>
      <c r="E30" s="59">
        <f t="shared" si="3"/>
        <v>0</v>
      </c>
      <c r="F30" s="59">
        <f t="shared" si="3"/>
        <v>0</v>
      </c>
      <c r="G30" s="59">
        <f t="shared" si="3"/>
        <v>0</v>
      </c>
      <c r="H30" s="59">
        <f t="shared" si="3"/>
        <v>47700.744025</v>
      </c>
      <c r="I30" s="59">
        <f t="shared" si="3"/>
        <v>2243.1274877756246</v>
      </c>
      <c r="J30" s="59">
        <f t="shared" si="3"/>
        <v>0</v>
      </c>
      <c r="K30" s="59">
        <f t="shared" si="3"/>
        <v>0</v>
      </c>
      <c r="L30" s="59">
        <f t="shared" si="3"/>
        <v>121578.16724600636</v>
      </c>
      <c r="M30" s="235">
        <f t="shared" si="3"/>
        <v>0</v>
      </c>
      <c r="N30" s="4"/>
    </row>
    <row r="31" spans="1:14" ht="12">
      <c r="A31" s="236"/>
      <c r="B31" s="223"/>
      <c r="C31" s="86"/>
      <c r="D31" s="86"/>
      <c r="E31" s="86"/>
      <c r="F31" s="86"/>
      <c r="G31" s="86"/>
      <c r="H31" s="86"/>
      <c r="I31" s="86"/>
      <c r="J31" s="86"/>
      <c r="K31" s="86"/>
      <c r="L31" s="86"/>
      <c r="M31" s="237"/>
      <c r="N31" s="4"/>
    </row>
    <row r="32" spans="1:14" ht="12">
      <c r="A32" s="236"/>
      <c r="B32" s="223"/>
      <c r="C32" s="86"/>
      <c r="D32" s="86"/>
      <c r="E32" s="86"/>
      <c r="F32" s="86"/>
      <c r="G32" s="86"/>
      <c r="H32" s="86"/>
      <c r="I32" s="86"/>
      <c r="J32" s="86"/>
      <c r="K32" s="86"/>
      <c r="L32" s="86"/>
      <c r="M32" s="237"/>
      <c r="N32" s="4"/>
    </row>
    <row r="33" spans="1:14" ht="12">
      <c r="A33" s="233" t="str">
        <f>A12</f>
        <v>Mezzanine Debt</v>
      </c>
      <c r="B33" s="90"/>
      <c r="C33" s="75"/>
      <c r="D33" s="75"/>
      <c r="E33" s="75"/>
      <c r="F33" s="75"/>
      <c r="G33" s="75"/>
      <c r="H33" s="75"/>
      <c r="I33" s="75"/>
      <c r="J33" s="75"/>
      <c r="K33" s="75"/>
      <c r="L33" s="75"/>
      <c r="M33" s="234"/>
      <c r="N33" s="4"/>
    </row>
    <row r="34" spans="1:14" ht="12">
      <c r="A34" s="252" t="s">
        <v>325</v>
      </c>
      <c r="B34" s="36"/>
      <c r="C34" s="59">
        <f>-Bal_Sheet!E52</f>
        <v>-70000</v>
      </c>
      <c r="D34" s="59"/>
      <c r="E34" s="59"/>
      <c r="F34" s="59"/>
      <c r="G34" s="59"/>
      <c r="H34" s="59"/>
      <c r="I34" s="59"/>
      <c r="J34" s="59"/>
      <c r="K34" s="59"/>
      <c r="L34" s="59"/>
      <c r="M34" s="235"/>
      <c r="N34" s="4"/>
    </row>
    <row r="35" spans="1:14" ht="12">
      <c r="A35" s="252" t="s">
        <v>326</v>
      </c>
      <c r="B35" s="36"/>
      <c r="C35" s="59"/>
      <c r="D35" s="59">
        <f>IF($C$4&gt;=D$22,Inc_St!D$31-Cash_Flow!D$16,0)</f>
        <v>0</v>
      </c>
      <c r="E35" s="59">
        <f>IF($C$4&gt;=E$22,Inc_St!E$31-Cash_Flow!E$16,0)</f>
        <v>0</v>
      </c>
      <c r="F35" s="59">
        <f>IF($C$4&gt;=F$22,Inc_St!F$31-Cash_Flow!F$16,0)</f>
        <v>0</v>
      </c>
      <c r="G35" s="59">
        <f>IF($C$4&gt;=G$22,Inc_St!G$31-Cash_Flow!G$16,0)</f>
        <v>0</v>
      </c>
      <c r="H35" s="59">
        <f>IF($C$4&gt;=H$22,Inc_St!H$31-Cash_Flow!H$16,0)</f>
        <v>0</v>
      </c>
      <c r="I35" s="59">
        <f>IF($C$4&gt;=I$22,Inc_St!I$31-Cash_Flow!I$16,0)</f>
        <v>1640.4238917953458</v>
      </c>
      <c r="J35" s="59">
        <f>IF($C$4&gt;=J$22,Inc_St!J$31-Cash_Flow!J$16,0)</f>
        <v>2.6193447411060332E-12</v>
      </c>
      <c r="K35" s="59">
        <f>IF($C$4&gt;=K$22,Inc_St!K$31-Cash_Flow!K$16,0)</f>
        <v>-2.6193447411060332E-12</v>
      </c>
      <c r="L35" s="59">
        <f>IF($C$4&gt;=L$22,Inc_St!L$31-Cash_Flow!L$16,0)</f>
        <v>-1.57160684466362E-11</v>
      </c>
      <c r="M35" s="235">
        <f>IF($C$4&gt;=M$22,Inc_St!M$31-Cash_Flow!M$16,0)</f>
        <v>0</v>
      </c>
      <c r="N35" s="4"/>
    </row>
    <row r="36" spans="1:14" ht="12">
      <c r="A36" s="252" t="s">
        <v>333</v>
      </c>
      <c r="B36" s="36"/>
      <c r="C36" s="59"/>
      <c r="D36" s="59">
        <f>IF($C$4&gt;=D$22,SUM(Cash_Flow!D$90,Cash_Flow!D$105),0)</f>
        <v>0</v>
      </c>
      <c r="E36" s="59">
        <f>IF($C$4&gt;=E$22,SUM(Cash_Flow!E$90,Cash_Flow!E$105),0)</f>
        <v>0</v>
      </c>
      <c r="F36" s="59">
        <f>IF($C$4&gt;=F$22,SUM(Cash_Flow!F$90,Cash_Flow!F$105),0)</f>
        <v>0</v>
      </c>
      <c r="G36" s="59">
        <f>IF($C$4&gt;=G$22,SUM(Cash_Flow!G$90,Cash_Flow!G$105),0)</f>
        <v>0</v>
      </c>
      <c r="H36" s="59">
        <f>IF($C$4&gt;=H$22,SUM(Cash_Flow!H$90,Cash_Flow!H$105),0)</f>
        <v>50778.87137360013</v>
      </c>
      <c r="I36" s="59">
        <f>IF($C$4&gt;=I$22,SUM(Cash_Flow!I$90,Cash_Flow!I$105),0)</f>
        <v>36453.8642621188</v>
      </c>
      <c r="J36" s="59">
        <f>IF($C$4&gt;=J$22,SUM(Cash_Flow!J$90,Cash_Flow!J$105),0)</f>
        <v>5.820766091346741E-11</v>
      </c>
      <c r="K36" s="59">
        <f>IF($C$4&gt;=K$22,SUM(Cash_Flow!K$90,Cash_Flow!K$105),0)</f>
        <v>-5.820766091346741E-11</v>
      </c>
      <c r="L36" s="59">
        <f>IF($C$4&gt;=L$22,SUM(Cash_Flow!L$90,Cash_Flow!L$105),0)</f>
        <v>-3.4924596548080444E-10</v>
      </c>
      <c r="M36" s="235">
        <f>IF($C$4&gt;=M$22,SUM(Cash_Flow!M$90,Cash_Flow!M$105),0)</f>
        <v>0</v>
      </c>
      <c r="N36" s="4"/>
    </row>
    <row r="37" spans="1:14" ht="12">
      <c r="A37" s="252" t="s">
        <v>332</v>
      </c>
      <c r="B37" s="36"/>
      <c r="C37" s="59"/>
      <c r="D37" s="59">
        <f>IF($C$4=D$22,Bal_Sheet!F$52,0)</f>
        <v>0</v>
      </c>
      <c r="E37" s="59">
        <f>IF($C$4=E$22,Bal_Sheet!G$52,0)</f>
        <v>0</v>
      </c>
      <c r="F37" s="59">
        <f>IF($C$4=F$22,Bal_Sheet!H$52,0)</f>
        <v>0</v>
      </c>
      <c r="G37" s="59">
        <f>IF($C$4=G$22,Bal_Sheet!I$52,0)</f>
        <v>0</v>
      </c>
      <c r="H37" s="59">
        <f>IF($C$4=H$22,Bal_Sheet!J$52,0)</f>
        <v>0</v>
      </c>
      <c r="I37" s="59">
        <f>IF($C$4=I$22,Bal_Sheet!K$52,0)</f>
        <v>0</v>
      </c>
      <c r="J37" s="59">
        <f>IF($C$4=J$22,Bal_Sheet!L$52,0)</f>
        <v>0</v>
      </c>
      <c r="K37" s="59">
        <f>IF($C$4=K$22,Bal_Sheet!M$52,0)</f>
        <v>0</v>
      </c>
      <c r="L37" s="59">
        <f>IF($C$4=L$22,Bal_Sheet!N$52,0)</f>
        <v>-8.731149137020111E-10</v>
      </c>
      <c r="M37" s="235">
        <f>IF($C$4=M$22,Bal_Sheet!O$52,0)</f>
        <v>0</v>
      </c>
      <c r="N37" s="4"/>
    </row>
    <row r="38" spans="1:14" ht="12">
      <c r="A38" s="252" t="s">
        <v>328</v>
      </c>
      <c r="B38" s="36"/>
      <c r="C38" s="59"/>
      <c r="D38" s="59">
        <f aca="true" t="shared" si="4" ref="D38:M38">IF($C$4=D$22,$G$12,0)</f>
        <v>0</v>
      </c>
      <c r="E38" s="59">
        <f t="shared" si="4"/>
        <v>0</v>
      </c>
      <c r="F38" s="59">
        <f t="shared" si="4"/>
        <v>0</v>
      </c>
      <c r="G38" s="59">
        <f t="shared" si="4"/>
        <v>0</v>
      </c>
      <c r="H38" s="59">
        <f t="shared" si="4"/>
        <v>0</v>
      </c>
      <c r="I38" s="59">
        <f t="shared" si="4"/>
        <v>0</v>
      </c>
      <c r="J38" s="59">
        <f t="shared" si="4"/>
        <v>0</v>
      </c>
      <c r="K38" s="59">
        <f t="shared" si="4"/>
        <v>0</v>
      </c>
      <c r="L38" s="59">
        <f t="shared" si="4"/>
        <v>202630.27874334395</v>
      </c>
      <c r="M38" s="235">
        <f t="shared" si="4"/>
        <v>0</v>
      </c>
      <c r="N38" s="4"/>
    </row>
    <row r="39" spans="1:14" ht="12">
      <c r="A39" s="253" t="s">
        <v>165</v>
      </c>
      <c r="B39" s="222">
        <f>IF($C$4&gt;0,IRR($C39:$M39,),0)</f>
        <v>0.2056073447367751</v>
      </c>
      <c r="C39" s="59">
        <f>C34</f>
        <v>-70000</v>
      </c>
      <c r="D39" s="59">
        <f aca="true" t="shared" si="5" ref="D39:M39">SUM(D35:D38)</f>
        <v>0</v>
      </c>
      <c r="E39" s="59">
        <f t="shared" si="5"/>
        <v>0</v>
      </c>
      <c r="F39" s="59">
        <f t="shared" si="5"/>
        <v>0</v>
      </c>
      <c r="G39" s="59">
        <f t="shared" si="5"/>
        <v>0</v>
      </c>
      <c r="H39" s="59">
        <f t="shared" si="5"/>
        <v>50778.87137360013</v>
      </c>
      <c r="I39" s="59">
        <f t="shared" si="5"/>
        <v>38094.288153914145</v>
      </c>
      <c r="J39" s="59">
        <f t="shared" si="5"/>
        <v>6.082700565457344E-11</v>
      </c>
      <c r="K39" s="59">
        <f t="shared" si="5"/>
        <v>-6.082700565457344E-11</v>
      </c>
      <c r="L39" s="59">
        <f t="shared" si="5"/>
        <v>202630.2787433427</v>
      </c>
      <c r="M39" s="235">
        <f t="shared" si="5"/>
        <v>0</v>
      </c>
      <c r="N39" s="4"/>
    </row>
    <row r="40" spans="1:14" ht="12">
      <c r="A40" s="229"/>
      <c r="B40" s="36"/>
      <c r="C40" s="86"/>
      <c r="D40" s="86"/>
      <c r="E40" s="86"/>
      <c r="F40" s="86"/>
      <c r="G40" s="86"/>
      <c r="H40" s="86"/>
      <c r="I40" s="86"/>
      <c r="J40" s="86"/>
      <c r="K40" s="86"/>
      <c r="L40" s="86"/>
      <c r="M40" s="237"/>
      <c r="N40" s="4"/>
    </row>
    <row r="41" spans="1:14" ht="12">
      <c r="A41" s="229"/>
      <c r="B41" s="36"/>
      <c r="C41" s="86"/>
      <c r="D41" s="86"/>
      <c r="E41" s="86"/>
      <c r="F41" s="86"/>
      <c r="G41" s="86"/>
      <c r="H41" s="86"/>
      <c r="I41" s="86"/>
      <c r="J41" s="86"/>
      <c r="K41" s="86"/>
      <c r="L41" s="86"/>
      <c r="M41" s="237"/>
      <c r="N41" s="4"/>
    </row>
    <row r="42" spans="1:14" ht="12">
      <c r="A42" s="233" t="str">
        <f>A13</f>
        <v>Preferred Stock</v>
      </c>
      <c r="B42" s="90"/>
      <c r="C42" s="75"/>
      <c r="D42" s="75"/>
      <c r="E42" s="75"/>
      <c r="F42" s="75"/>
      <c r="G42" s="75"/>
      <c r="H42" s="75"/>
      <c r="I42" s="75"/>
      <c r="J42" s="75"/>
      <c r="K42" s="75"/>
      <c r="L42" s="75"/>
      <c r="M42" s="234"/>
      <c r="N42" s="4"/>
    </row>
    <row r="43" spans="1:14" ht="12">
      <c r="A43" s="252" t="s">
        <v>325</v>
      </c>
      <c r="B43" s="36"/>
      <c r="C43" s="59">
        <f>-Bal_Sheet!E61</f>
        <v>-60000</v>
      </c>
      <c r="D43" s="59"/>
      <c r="E43" s="59"/>
      <c r="F43" s="59"/>
      <c r="G43" s="59"/>
      <c r="H43" s="59"/>
      <c r="I43" s="59"/>
      <c r="J43" s="59"/>
      <c r="K43" s="59"/>
      <c r="L43" s="59"/>
      <c r="M43" s="235"/>
      <c r="N43" s="4"/>
    </row>
    <row r="44" spans="1:14" ht="12">
      <c r="A44" s="252" t="s">
        <v>329</v>
      </c>
      <c r="B44" s="36"/>
      <c r="C44" s="59"/>
      <c r="D44" s="59">
        <f>IF($C$4&gt;=D$22,Inc_St!D$46-Cash_Flow!D$18,0)</f>
        <v>0</v>
      </c>
      <c r="E44" s="59">
        <f>IF($C$4&gt;=E$22,Inc_St!E$46-Cash_Flow!E$18,0)</f>
        <v>0</v>
      </c>
      <c r="F44" s="59">
        <f>IF($C$4&gt;=F$22,Inc_St!F$46-Cash_Flow!F$18,0)</f>
        <v>0</v>
      </c>
      <c r="G44" s="59">
        <f>IF($C$4&gt;=G$22,Inc_St!G$46-Cash_Flow!G$18,0)</f>
        <v>0</v>
      </c>
      <c r="H44" s="59">
        <f>IF($C$4&gt;=H$22,Inc_St!H$46-Cash_Flow!H$18,0)</f>
        <v>0</v>
      </c>
      <c r="I44" s="59">
        <f>IF($C$4&gt;=I$22,Inc_St!I$46-Cash_Flow!I$18,0)</f>
        <v>5890.717268940001</v>
      </c>
      <c r="J44" s="59">
        <f>IF($C$4&gt;=J$22,Inc_St!J$46-Cash_Flow!J$18,0)</f>
        <v>5890.717268940001</v>
      </c>
      <c r="K44" s="59">
        <f>IF($C$4&gt;=K$22,Inc_St!K$46-Cash_Flow!K$18,0)</f>
        <v>5890.717268940001</v>
      </c>
      <c r="L44" s="59">
        <f>IF($C$4&gt;=L$22,Inc_St!L$46-Cash_Flow!L$18,0)</f>
        <v>5890.717268940001</v>
      </c>
      <c r="M44" s="235">
        <f>IF($C$4&gt;=M$22,Inc_St!M$46-Cash_Flow!M$18,0)</f>
        <v>0</v>
      </c>
      <c r="N44" s="4"/>
    </row>
    <row r="45" spans="1:14" ht="12">
      <c r="A45" s="252" t="s">
        <v>333</v>
      </c>
      <c r="B45" s="36"/>
      <c r="C45" s="59"/>
      <c r="D45" s="59">
        <f>IF($C$4&gt;=D$22,Cash_Flow!D$92,0)</f>
        <v>0</v>
      </c>
      <c r="E45" s="59">
        <f>IF($C$4&gt;=E$22,Cash_Flow!E$92,0)</f>
        <v>0</v>
      </c>
      <c r="F45" s="59">
        <f>IF($C$4&gt;=F$22,Cash_Flow!F$92,0)</f>
        <v>0</v>
      </c>
      <c r="G45" s="59">
        <f>IF($C$4&gt;=G$22,Cash_Flow!G$92,0)</f>
        <v>0</v>
      </c>
      <c r="H45" s="59">
        <f>IF($C$4&gt;=H$22,Cash_Flow!H$92,0)</f>
        <v>0</v>
      </c>
      <c r="I45" s="59">
        <f>IF($C$4&gt;=I$22,Cash_Flow!I$92,0)</f>
        <v>0</v>
      </c>
      <c r="J45" s="59">
        <f>IF($C$4&gt;=J$22,Cash_Flow!J$92,0)</f>
        <v>0</v>
      </c>
      <c r="K45" s="59">
        <f>IF($C$4&gt;=K$22,Cash_Flow!K$92,0)</f>
        <v>0</v>
      </c>
      <c r="L45" s="59">
        <f>IF($C$4&gt;=L$22,Cash_Flow!L$92,0)</f>
        <v>0</v>
      </c>
      <c r="M45" s="235">
        <f>IF($C$4&gt;=M$22,Cash_Flow!M$92,0)</f>
        <v>0</v>
      </c>
      <c r="N45" s="4"/>
    </row>
    <row r="46" spans="1:14" ht="12">
      <c r="A46" s="252" t="s">
        <v>332</v>
      </c>
      <c r="B46" s="36"/>
      <c r="C46" s="59"/>
      <c r="D46" s="59">
        <f>IF($C$4=D$22,Bal_Sheet!F$61,0)</f>
        <v>0</v>
      </c>
      <c r="E46" s="59">
        <f>IF($C$4=E$22,Bal_Sheet!G$61,0)</f>
        <v>0</v>
      </c>
      <c r="F46" s="59">
        <f>IF($C$4=F$22,Bal_Sheet!H$61,0)</f>
        <v>0</v>
      </c>
      <c r="G46" s="59">
        <f>IF($C$4=G$22,Bal_Sheet!I$61,0)</f>
        <v>0</v>
      </c>
      <c r="H46" s="59">
        <f>IF($C$4=H$22,Bal_Sheet!J$61,0)</f>
        <v>0</v>
      </c>
      <c r="I46" s="59">
        <f>IF($C$4=I$22,Bal_Sheet!K$61,0)</f>
        <v>0</v>
      </c>
      <c r="J46" s="59">
        <f>IF($C$4=J$22,Bal_Sheet!L$61,0)</f>
        <v>0</v>
      </c>
      <c r="K46" s="59">
        <f>IF($C$4=K$22,Bal_Sheet!M$61,0)</f>
        <v>0</v>
      </c>
      <c r="L46" s="59">
        <f>IF($C$4=L$22,Bal_Sheet!N$61,0)</f>
        <v>84153.10384200001</v>
      </c>
      <c r="M46" s="235">
        <f>IF($C$4=M$22,Bal_Sheet!O$61,0)</f>
        <v>0</v>
      </c>
      <c r="N46" s="4"/>
    </row>
    <row r="47" spans="1:14" ht="12">
      <c r="A47" s="252" t="s">
        <v>328</v>
      </c>
      <c r="B47" s="36"/>
      <c r="C47" s="59"/>
      <c r="D47" s="59">
        <f aca="true" t="shared" si="6" ref="D47:M47">IF($C$4=D$22,$G$13,0)</f>
        <v>0</v>
      </c>
      <c r="E47" s="59">
        <f t="shared" si="6"/>
        <v>0</v>
      </c>
      <c r="F47" s="59">
        <f t="shared" si="6"/>
        <v>0</v>
      </c>
      <c r="G47" s="59">
        <f t="shared" si="6"/>
        <v>0</v>
      </c>
      <c r="H47" s="59">
        <f t="shared" si="6"/>
        <v>0</v>
      </c>
      <c r="I47" s="59">
        <f t="shared" si="6"/>
        <v>0</v>
      </c>
      <c r="J47" s="59">
        <f t="shared" si="6"/>
        <v>0</v>
      </c>
      <c r="K47" s="59">
        <f t="shared" si="6"/>
        <v>0</v>
      </c>
      <c r="L47" s="59">
        <f t="shared" si="6"/>
        <v>162104.22299467516</v>
      </c>
      <c r="M47" s="235">
        <f t="shared" si="6"/>
        <v>0</v>
      </c>
      <c r="N47" s="4"/>
    </row>
    <row r="48" spans="1:14" ht="12">
      <c r="A48" s="253" t="s">
        <v>165</v>
      </c>
      <c r="B48" s="222">
        <f>IF($C$4&gt;0,IRR($C48:$M48,),0)</f>
        <v>0.18536585031874697</v>
      </c>
      <c r="C48" s="59">
        <f>C43</f>
        <v>-60000</v>
      </c>
      <c r="D48" s="59">
        <f aca="true" t="shared" si="7" ref="D48:M48">SUM(D44:D47)</f>
        <v>0</v>
      </c>
      <c r="E48" s="59">
        <f t="shared" si="7"/>
        <v>0</v>
      </c>
      <c r="F48" s="59">
        <f t="shared" si="7"/>
        <v>0</v>
      </c>
      <c r="G48" s="59">
        <f t="shared" si="7"/>
        <v>0</v>
      </c>
      <c r="H48" s="59">
        <f t="shared" si="7"/>
        <v>0</v>
      </c>
      <c r="I48" s="59">
        <f t="shared" si="7"/>
        <v>5890.717268940001</v>
      </c>
      <c r="J48" s="59">
        <f t="shared" si="7"/>
        <v>5890.717268940001</v>
      </c>
      <c r="K48" s="59">
        <f t="shared" si="7"/>
        <v>5890.717268940001</v>
      </c>
      <c r="L48" s="59">
        <f t="shared" si="7"/>
        <v>252148.04410561518</v>
      </c>
      <c r="M48" s="235">
        <f t="shared" si="7"/>
        <v>0</v>
      </c>
      <c r="N48" s="4"/>
    </row>
    <row r="49" spans="1:14" ht="12">
      <c r="A49" s="229"/>
      <c r="B49" s="36"/>
      <c r="C49" s="86"/>
      <c r="D49" s="86"/>
      <c r="E49" s="86"/>
      <c r="F49" s="86"/>
      <c r="G49" s="86"/>
      <c r="H49" s="86"/>
      <c r="I49" s="86"/>
      <c r="J49" s="86"/>
      <c r="K49" s="86"/>
      <c r="L49" s="86"/>
      <c r="M49" s="237"/>
      <c r="N49" s="4"/>
    </row>
    <row r="50" spans="1:14" ht="12">
      <c r="A50" s="229"/>
      <c r="B50" s="36"/>
      <c r="C50" s="86"/>
      <c r="D50" s="86"/>
      <c r="E50" s="86"/>
      <c r="F50" s="86"/>
      <c r="G50" s="86"/>
      <c r="H50" s="86"/>
      <c r="I50" s="86"/>
      <c r="J50" s="86"/>
      <c r="K50" s="86"/>
      <c r="L50" s="86"/>
      <c r="M50" s="237"/>
      <c r="N50" s="4"/>
    </row>
    <row r="51" spans="1:14" ht="12">
      <c r="A51" s="233" t="str">
        <f>A8</f>
        <v>Common - Sponsor Equity</v>
      </c>
      <c r="B51" s="90"/>
      <c r="C51" s="75"/>
      <c r="D51" s="75"/>
      <c r="E51" s="75"/>
      <c r="F51" s="75"/>
      <c r="G51" s="75"/>
      <c r="H51" s="75"/>
      <c r="I51" s="75"/>
      <c r="J51" s="75"/>
      <c r="K51" s="75"/>
      <c r="L51" s="75"/>
      <c r="M51" s="234"/>
      <c r="N51" s="4"/>
    </row>
    <row r="52" spans="1:14" ht="12">
      <c r="A52" s="252" t="s">
        <v>325</v>
      </c>
      <c r="B52" s="36"/>
      <c r="C52" s="59">
        <f>-Input!C37</f>
        <v>-220000</v>
      </c>
      <c r="D52" s="59"/>
      <c r="E52" s="59"/>
      <c r="F52" s="59"/>
      <c r="G52" s="59"/>
      <c r="H52" s="59"/>
      <c r="I52" s="59"/>
      <c r="J52" s="59"/>
      <c r="K52" s="59"/>
      <c r="L52" s="59"/>
      <c r="M52" s="235"/>
      <c r="N52" s="4"/>
    </row>
    <row r="53" spans="1:14" ht="12">
      <c r="A53" s="252" t="s">
        <v>329</v>
      </c>
      <c r="B53" s="36"/>
      <c r="C53" s="59"/>
      <c r="D53" s="73">
        <f>IF($C$4&gt;=D$22,Inc_St!D$47*$D$8,0)</f>
        <v>1929.8245614035086</v>
      </c>
      <c r="E53" s="73">
        <f>IF($C$4&gt;=E$22,Inc_St!E$47*$D$8,0)</f>
        <v>2084.210526315789</v>
      </c>
      <c r="F53" s="73">
        <f>IF($C$4&gt;=F$22,Inc_St!F$47*$D$8,0)</f>
        <v>2200</v>
      </c>
      <c r="G53" s="73">
        <f>IF($C$4&gt;=G$22,Inc_St!G$47*$D$8,0)</f>
        <v>2392.9824561403507</v>
      </c>
      <c r="H53" s="73">
        <f>IF($C$4&gt;=H$22,Inc_St!H$47*$D$8,0)</f>
        <v>2663.157894736842</v>
      </c>
      <c r="I53" s="73">
        <f>IF($C$4&gt;=I$22,Inc_St!I$47*$D$8,0)</f>
        <v>2701.754385964912</v>
      </c>
      <c r="J53" s="73">
        <f>IF($C$4&gt;=J$22,Inc_St!J$47*$D$8,0)</f>
        <v>2856.1403508771928</v>
      </c>
      <c r="K53" s="73">
        <f>IF($C$4&gt;=K$22,Inc_St!K$47*$D$8,0)</f>
        <v>3087.719298245614</v>
      </c>
      <c r="L53" s="73">
        <f>IF($C$4&gt;=L$22,Inc_St!L$47*$D$8,0)</f>
        <v>3164.9122807017543</v>
      </c>
      <c r="M53" s="238">
        <f>IF($C$4&gt;=M$22,Inc_St!M$47*$D$8,0)</f>
        <v>0</v>
      </c>
      <c r="N53" s="4"/>
    </row>
    <row r="54" spans="1:14" ht="12">
      <c r="A54" s="252" t="s">
        <v>328</v>
      </c>
      <c r="B54" s="36"/>
      <c r="C54" s="59"/>
      <c r="D54" s="59">
        <f aca="true" t="shared" si="8" ref="D54:M54">IF($C$4=D$22,$G$8,0)</f>
        <v>0</v>
      </c>
      <c r="E54" s="59">
        <f t="shared" si="8"/>
        <v>0</v>
      </c>
      <c r="F54" s="59">
        <f t="shared" si="8"/>
        <v>0</v>
      </c>
      <c r="G54" s="59">
        <f t="shared" si="8"/>
        <v>0</v>
      </c>
      <c r="H54" s="59">
        <f t="shared" si="8"/>
        <v>0</v>
      </c>
      <c r="I54" s="59">
        <f t="shared" si="8"/>
        <v>0</v>
      </c>
      <c r="J54" s="59">
        <f t="shared" si="8"/>
        <v>0</v>
      </c>
      <c r="K54" s="59">
        <f t="shared" si="8"/>
        <v>0</v>
      </c>
      <c r="L54" s="59">
        <f t="shared" si="8"/>
        <v>2565228.230547315</v>
      </c>
      <c r="M54" s="235">
        <f t="shared" si="8"/>
        <v>0</v>
      </c>
      <c r="N54" s="4"/>
    </row>
    <row r="55" spans="1:14" ht="12">
      <c r="A55" s="253" t="s">
        <v>165</v>
      </c>
      <c r="B55" s="222">
        <f>IF($C$4&gt;0,IRR($C55:$M55,),0)</f>
        <v>0.31824371350782676</v>
      </c>
      <c r="C55" s="59">
        <f>C52</f>
        <v>-220000</v>
      </c>
      <c r="D55" s="59">
        <f aca="true" t="shared" si="9" ref="D55:M55">SUM(D53:D54)</f>
        <v>1929.8245614035086</v>
      </c>
      <c r="E55" s="59">
        <f t="shared" si="9"/>
        <v>2084.210526315789</v>
      </c>
      <c r="F55" s="59">
        <f t="shared" si="9"/>
        <v>2200</v>
      </c>
      <c r="G55" s="59">
        <f t="shared" si="9"/>
        <v>2392.9824561403507</v>
      </c>
      <c r="H55" s="59">
        <f t="shared" si="9"/>
        <v>2663.157894736842</v>
      </c>
      <c r="I55" s="59">
        <f t="shared" si="9"/>
        <v>2701.754385964912</v>
      </c>
      <c r="J55" s="59">
        <f t="shared" si="9"/>
        <v>2856.1403508771928</v>
      </c>
      <c r="K55" s="59">
        <f t="shared" si="9"/>
        <v>3087.719298245614</v>
      </c>
      <c r="L55" s="59">
        <f t="shared" si="9"/>
        <v>2568393.1428280165</v>
      </c>
      <c r="M55" s="235">
        <f t="shared" si="9"/>
        <v>0</v>
      </c>
      <c r="N55" s="4"/>
    </row>
    <row r="56" spans="1:14" ht="12">
      <c r="A56" s="229"/>
      <c r="B56" s="36"/>
      <c r="C56" s="86"/>
      <c r="D56" s="86"/>
      <c r="E56" s="86"/>
      <c r="F56" s="86"/>
      <c r="G56" s="86"/>
      <c r="H56" s="86"/>
      <c r="I56" s="86"/>
      <c r="J56" s="86"/>
      <c r="K56" s="86"/>
      <c r="L56" s="86"/>
      <c r="M56" s="237"/>
      <c r="N56" s="4"/>
    </row>
    <row r="57" spans="1:14" ht="12">
      <c r="A57" s="229"/>
      <c r="B57" s="36"/>
      <c r="C57" s="86"/>
      <c r="D57" s="86"/>
      <c r="E57" s="86"/>
      <c r="F57" s="86"/>
      <c r="G57" s="86"/>
      <c r="H57" s="86"/>
      <c r="I57" s="86"/>
      <c r="J57" s="86"/>
      <c r="K57" s="86"/>
      <c r="L57" s="86"/>
      <c r="M57" s="237"/>
      <c r="N57" s="4"/>
    </row>
    <row r="58" spans="1:14" ht="12">
      <c r="A58" s="233" t="str">
        <f>A9</f>
        <v>Management Equity</v>
      </c>
      <c r="B58" s="90"/>
      <c r="C58" s="75"/>
      <c r="D58" s="75"/>
      <c r="E58" s="75"/>
      <c r="F58" s="75"/>
      <c r="G58" s="75"/>
      <c r="H58" s="75"/>
      <c r="I58" s="75"/>
      <c r="J58" s="75"/>
      <c r="K58" s="75"/>
      <c r="L58" s="75"/>
      <c r="M58" s="234"/>
      <c r="N58" s="4"/>
    </row>
    <row r="59" spans="1:14" ht="12">
      <c r="A59" s="252" t="s">
        <v>325</v>
      </c>
      <c r="B59" s="36"/>
      <c r="C59" s="59">
        <f>-Input!C38</f>
        <v>-40000</v>
      </c>
      <c r="D59" s="59"/>
      <c r="E59" s="59"/>
      <c r="F59" s="59"/>
      <c r="G59" s="59"/>
      <c r="H59" s="59"/>
      <c r="I59" s="59"/>
      <c r="J59" s="59"/>
      <c r="K59" s="59"/>
      <c r="L59" s="59"/>
      <c r="M59" s="235"/>
      <c r="N59" s="4"/>
    </row>
    <row r="60" spans="1:14" ht="12">
      <c r="A60" s="252" t="s">
        <v>329</v>
      </c>
      <c r="B60" s="36"/>
      <c r="C60" s="59"/>
      <c r="D60" s="73">
        <f>IF($C$4&gt;=D$22,Inc_St!D$47*$D$9,0)</f>
        <v>350.8771929824561</v>
      </c>
      <c r="E60" s="73">
        <f>IF($C$4&gt;=E$22,Inc_St!E$47*$D$9,0)</f>
        <v>378.9473684210526</v>
      </c>
      <c r="F60" s="73">
        <f>IF($C$4&gt;=F$22,Inc_St!F$47*$D$9,0)</f>
        <v>400</v>
      </c>
      <c r="G60" s="73">
        <f>IF($C$4&gt;=G$22,Inc_St!G$47*$D$9,0)</f>
        <v>435.0877192982456</v>
      </c>
      <c r="H60" s="73">
        <f>IF($C$4&gt;=H$22,Inc_St!H$47*$D$9,0)</f>
        <v>484.2105263157894</v>
      </c>
      <c r="I60" s="73">
        <f>IF($C$4&gt;=I$22,Inc_St!I$47*$D$9,0)</f>
        <v>491.2280701754386</v>
      </c>
      <c r="J60" s="73">
        <f>IF($C$4&gt;=J$22,Inc_St!J$47*$D$9,0)</f>
        <v>519.2982456140351</v>
      </c>
      <c r="K60" s="73">
        <f>IF($C$4&gt;=K$22,Inc_St!K$47*$D$9,0)</f>
        <v>561.4035087719298</v>
      </c>
      <c r="L60" s="73">
        <f>IF($C$4&gt;=L$22,Inc_St!L$47*$D$9,0)</f>
        <v>575.438596491228</v>
      </c>
      <c r="M60" s="238">
        <f>IF($C$4&gt;=M$22,Inc_St!M$47*$D$9,0)</f>
        <v>0</v>
      </c>
      <c r="N60" s="4"/>
    </row>
    <row r="61" spans="1:14" ht="12">
      <c r="A61" s="252" t="s">
        <v>328</v>
      </c>
      <c r="B61" s="36"/>
      <c r="C61" s="59"/>
      <c r="D61" s="59">
        <f aca="true" t="shared" si="10" ref="D61:M61">IF($C$4=D$22,SUM($G$9,$G$14),0)</f>
        <v>0</v>
      </c>
      <c r="E61" s="59">
        <f t="shared" si="10"/>
        <v>0</v>
      </c>
      <c r="F61" s="59">
        <f t="shared" si="10"/>
        <v>0</v>
      </c>
      <c r="G61" s="59">
        <f t="shared" si="10"/>
        <v>0</v>
      </c>
      <c r="H61" s="59">
        <f t="shared" si="10"/>
        <v>0</v>
      </c>
      <c r="I61" s="59">
        <f t="shared" si="10"/>
        <v>0</v>
      </c>
      <c r="J61" s="59">
        <f t="shared" si="10"/>
        <v>0</v>
      </c>
      <c r="K61" s="59">
        <f t="shared" si="10"/>
        <v>0</v>
      </c>
      <c r="L61" s="59">
        <f t="shared" si="10"/>
        <v>628509.3558214598</v>
      </c>
      <c r="M61" s="235">
        <f t="shared" si="10"/>
        <v>0</v>
      </c>
      <c r="N61" s="4"/>
    </row>
    <row r="62" spans="1:14" ht="12">
      <c r="A62" s="253" t="s">
        <v>165</v>
      </c>
      <c r="B62" s="222">
        <f>IF($C$4&gt;0,IRR($C62:$M62,),0)</f>
        <v>0.36214838590203896</v>
      </c>
      <c r="C62" s="59">
        <f>C59</f>
        <v>-40000</v>
      </c>
      <c r="D62" s="59">
        <f aca="true" t="shared" si="11" ref="D62:M62">SUM(D60:D61)</f>
        <v>350.8771929824561</v>
      </c>
      <c r="E62" s="59">
        <f t="shared" si="11"/>
        <v>378.9473684210526</v>
      </c>
      <c r="F62" s="59">
        <f t="shared" si="11"/>
        <v>400</v>
      </c>
      <c r="G62" s="59">
        <f t="shared" si="11"/>
        <v>435.0877192982456</v>
      </c>
      <c r="H62" s="59">
        <f t="shared" si="11"/>
        <v>484.2105263157894</v>
      </c>
      <c r="I62" s="59">
        <f t="shared" si="11"/>
        <v>491.2280701754386</v>
      </c>
      <c r="J62" s="59">
        <f t="shared" si="11"/>
        <v>519.2982456140351</v>
      </c>
      <c r="K62" s="59">
        <f t="shared" si="11"/>
        <v>561.4035087719298</v>
      </c>
      <c r="L62" s="59">
        <f t="shared" si="11"/>
        <v>629084.794417951</v>
      </c>
      <c r="M62" s="235">
        <f t="shared" si="11"/>
        <v>0</v>
      </c>
      <c r="N62" s="4"/>
    </row>
    <row r="63" spans="1:14" ht="12">
      <c r="A63" s="229"/>
      <c r="B63" s="36"/>
      <c r="C63" s="86"/>
      <c r="D63" s="86"/>
      <c r="E63" s="86"/>
      <c r="F63" s="86"/>
      <c r="G63" s="86"/>
      <c r="H63" s="86"/>
      <c r="I63" s="86"/>
      <c r="J63" s="86"/>
      <c r="K63" s="86"/>
      <c r="L63" s="86"/>
      <c r="M63" s="237"/>
      <c r="N63" s="4"/>
    </row>
    <row r="64" spans="1:14" ht="12">
      <c r="A64" s="229"/>
      <c r="B64" s="36"/>
      <c r="C64" s="86"/>
      <c r="D64" s="86"/>
      <c r="E64" s="86"/>
      <c r="F64" s="86"/>
      <c r="G64" s="86"/>
      <c r="H64" s="86"/>
      <c r="I64" s="86"/>
      <c r="J64" s="86"/>
      <c r="K64" s="86"/>
      <c r="L64" s="86"/>
      <c r="M64" s="237"/>
      <c r="N64" s="4"/>
    </row>
    <row r="65" spans="1:14" ht="12">
      <c r="A65" s="233" t="str">
        <f>A10</f>
        <v>New Equity</v>
      </c>
      <c r="B65" s="90"/>
      <c r="C65" s="75"/>
      <c r="D65" s="75"/>
      <c r="E65" s="75"/>
      <c r="F65" s="75"/>
      <c r="G65" s="75"/>
      <c r="H65" s="75"/>
      <c r="I65" s="75"/>
      <c r="J65" s="75"/>
      <c r="K65" s="75"/>
      <c r="L65" s="75"/>
      <c r="M65" s="234"/>
      <c r="N65" s="4"/>
    </row>
    <row r="66" spans="1:14" ht="12">
      <c r="A66" s="252" t="s">
        <v>325</v>
      </c>
      <c r="B66" s="36"/>
      <c r="C66" s="59">
        <f>-Input!C39</f>
        <v>-25000</v>
      </c>
      <c r="D66" s="59"/>
      <c r="E66" s="59"/>
      <c r="F66" s="59"/>
      <c r="G66" s="59"/>
      <c r="H66" s="59"/>
      <c r="I66" s="59"/>
      <c r="J66" s="59"/>
      <c r="K66" s="59"/>
      <c r="L66" s="59"/>
      <c r="M66" s="235"/>
      <c r="N66" s="4"/>
    </row>
    <row r="67" spans="1:14" ht="12">
      <c r="A67" s="252" t="s">
        <v>329</v>
      </c>
      <c r="B67" s="36"/>
      <c r="C67" s="59"/>
      <c r="D67" s="73">
        <f>IF($C$4&gt;=D$22,Inc_St!D$47*$D$10,0)</f>
        <v>219.29824561403507</v>
      </c>
      <c r="E67" s="73">
        <f>IF($C$4&gt;=E$22,Inc_St!E$47*$D$10,0)</f>
        <v>236.8421052631579</v>
      </c>
      <c r="F67" s="73">
        <f>IF($C$4&gt;=F$22,Inc_St!F$47*$D$10,0)</f>
        <v>250</v>
      </c>
      <c r="G67" s="73">
        <f>IF($C$4&gt;=G$22,Inc_St!G$47*$D$10,0)</f>
        <v>271.9298245614035</v>
      </c>
      <c r="H67" s="73">
        <f>IF($C$4&gt;=H$22,Inc_St!H$47*$D$10,0)</f>
        <v>302.6315789473684</v>
      </c>
      <c r="I67" s="73">
        <f>IF($C$4&gt;=I$22,Inc_St!I$47*$D$10,0)</f>
        <v>307.0175438596491</v>
      </c>
      <c r="J67" s="73">
        <f>IF($C$4&gt;=J$22,Inc_St!J$47*$D$10,0)</f>
        <v>324.5614035087719</v>
      </c>
      <c r="K67" s="73">
        <f>IF($C$4&gt;=K$22,Inc_St!K$47*$D$10,0)</f>
        <v>350.8771929824561</v>
      </c>
      <c r="L67" s="73">
        <f>IF($C$4&gt;=L$22,Inc_St!L$47*$D$10,0)</f>
        <v>359.64912280701753</v>
      </c>
      <c r="M67" s="238">
        <f>IF($C$4&gt;=M$22,Inc_St!M$47*$D$10,0)</f>
        <v>0</v>
      </c>
      <c r="N67" s="4"/>
    </row>
    <row r="68" spans="1:14" ht="12">
      <c r="A68" s="252" t="s">
        <v>328</v>
      </c>
      <c r="B68" s="36"/>
      <c r="C68" s="59"/>
      <c r="D68" s="59">
        <f aca="true" t="shared" si="12" ref="D68:M68">IF($C$4=D$22,$G$10,0)</f>
        <v>0</v>
      </c>
      <c r="E68" s="59">
        <f t="shared" si="12"/>
        <v>0</v>
      </c>
      <c r="F68" s="59">
        <f t="shared" si="12"/>
        <v>0</v>
      </c>
      <c r="G68" s="59">
        <f t="shared" si="12"/>
        <v>0</v>
      </c>
      <c r="H68" s="59">
        <f t="shared" si="12"/>
        <v>0</v>
      </c>
      <c r="I68" s="59">
        <f t="shared" si="12"/>
        <v>0</v>
      </c>
      <c r="J68" s="59">
        <f t="shared" si="12"/>
        <v>0</v>
      </c>
      <c r="K68" s="59">
        <f t="shared" si="12"/>
        <v>0</v>
      </c>
      <c r="L68" s="59">
        <f t="shared" si="12"/>
        <v>372555.319514078</v>
      </c>
      <c r="M68" s="235">
        <f t="shared" si="12"/>
        <v>0</v>
      </c>
      <c r="N68" s="4"/>
    </row>
    <row r="69" spans="1:14" ht="12.75" thickBot="1">
      <c r="A69" s="254" t="s">
        <v>165</v>
      </c>
      <c r="B69" s="239">
        <f>IF($C$4&gt;0,IRR($C69:$M69,),0)</f>
        <v>0.35424162397207387</v>
      </c>
      <c r="C69" s="240">
        <f>C66</f>
        <v>-25000</v>
      </c>
      <c r="D69" s="240">
        <f aca="true" t="shared" si="13" ref="D69:M69">SUM(D67:D68)</f>
        <v>219.29824561403507</v>
      </c>
      <c r="E69" s="240">
        <f t="shared" si="13"/>
        <v>236.8421052631579</v>
      </c>
      <c r="F69" s="240">
        <f t="shared" si="13"/>
        <v>250</v>
      </c>
      <c r="G69" s="240">
        <f t="shared" si="13"/>
        <v>271.9298245614035</v>
      </c>
      <c r="H69" s="240">
        <f t="shared" si="13"/>
        <v>302.6315789473684</v>
      </c>
      <c r="I69" s="240">
        <f t="shared" si="13"/>
        <v>307.0175438596491</v>
      </c>
      <c r="J69" s="240">
        <f t="shared" si="13"/>
        <v>324.5614035087719</v>
      </c>
      <c r="K69" s="240">
        <f t="shared" si="13"/>
        <v>350.8771929824561</v>
      </c>
      <c r="L69" s="240">
        <f>SUM(L67:L68)</f>
        <v>372914.968636885</v>
      </c>
      <c r="M69" s="241">
        <f t="shared" si="13"/>
        <v>0</v>
      </c>
      <c r="N69" s="4"/>
    </row>
    <row r="70" spans="3:14" ht="12">
      <c r="C70" s="4"/>
      <c r="D70" s="4"/>
      <c r="E70" s="4"/>
      <c r="F70" s="4"/>
      <c r="G70" s="4"/>
      <c r="H70" s="4"/>
      <c r="I70" s="4"/>
      <c r="J70" s="4"/>
      <c r="K70" s="4"/>
      <c r="L70" s="4"/>
      <c r="M70" s="4"/>
      <c r="N70" s="4"/>
    </row>
    <row r="71" spans="3:14" ht="12">
      <c r="C71" s="4"/>
      <c r="D71" s="4"/>
      <c r="E71" s="4"/>
      <c r="F71" s="4"/>
      <c r="G71" s="4"/>
      <c r="H71" s="4"/>
      <c r="I71" s="4"/>
      <c r="J71" s="4"/>
      <c r="K71" s="4"/>
      <c r="L71" s="4"/>
      <c r="M71" s="4"/>
      <c r="N71" s="4"/>
    </row>
    <row r="72" spans="3:14" ht="12">
      <c r="C72" s="4"/>
      <c r="D72" s="4"/>
      <c r="E72" s="4"/>
      <c r="F72" s="4"/>
      <c r="G72" s="4"/>
      <c r="H72" s="4"/>
      <c r="I72" s="4"/>
      <c r="J72" s="4"/>
      <c r="K72" s="4"/>
      <c r="L72" s="4"/>
      <c r="M72" s="4"/>
      <c r="N72" s="4"/>
    </row>
    <row r="73" spans="3:14" ht="12">
      <c r="C73" s="4"/>
      <c r="D73" s="4"/>
      <c r="E73" s="4"/>
      <c r="F73" s="4"/>
      <c r="G73" s="4"/>
      <c r="H73" s="4"/>
      <c r="I73" s="4"/>
      <c r="J73" s="4"/>
      <c r="K73" s="4"/>
      <c r="L73" s="4"/>
      <c r="M73" s="4"/>
      <c r="N73" s="4"/>
    </row>
    <row r="74" spans="3:14" ht="12">
      <c r="C74" s="4"/>
      <c r="D74" s="4"/>
      <c r="E74" s="4"/>
      <c r="F74" s="4"/>
      <c r="G74" s="4"/>
      <c r="H74" s="4"/>
      <c r="I74" s="4"/>
      <c r="J74" s="4"/>
      <c r="K74" s="4"/>
      <c r="L74" s="4"/>
      <c r="M74" s="4"/>
      <c r="N74" s="4"/>
    </row>
    <row r="75" spans="3:14" ht="12">
      <c r="C75" s="4"/>
      <c r="D75" s="4"/>
      <c r="E75" s="4"/>
      <c r="F75" s="4"/>
      <c r="G75" s="4"/>
      <c r="H75" s="4"/>
      <c r="I75" s="4"/>
      <c r="J75" s="4"/>
      <c r="K75" s="4"/>
      <c r="L75" s="4"/>
      <c r="M75" s="4"/>
      <c r="N75" s="4"/>
    </row>
    <row r="76" spans="3:14" ht="12">
      <c r="C76" s="4"/>
      <c r="D76" s="4"/>
      <c r="E76" s="4"/>
      <c r="F76" s="4"/>
      <c r="G76" s="4"/>
      <c r="H76" s="4"/>
      <c r="I76" s="4"/>
      <c r="J76" s="4"/>
      <c r="K76" s="4"/>
      <c r="L76" s="4"/>
      <c r="M76" s="4"/>
      <c r="N76" s="4"/>
    </row>
    <row r="77" spans="3:14" ht="12">
      <c r="C77" s="4"/>
      <c r="D77" s="4"/>
      <c r="E77" s="4"/>
      <c r="F77" s="4"/>
      <c r="G77" s="4"/>
      <c r="H77" s="4"/>
      <c r="I77" s="4"/>
      <c r="J77" s="4"/>
      <c r="K77" s="4"/>
      <c r="L77" s="4"/>
      <c r="M77" s="4"/>
      <c r="N77" s="4"/>
    </row>
    <row r="78" spans="3:14" ht="12">
      <c r="C78" s="4"/>
      <c r="D78" s="4"/>
      <c r="E78" s="4"/>
      <c r="F78" s="4"/>
      <c r="G78" s="4"/>
      <c r="H78" s="4"/>
      <c r="I78" s="4"/>
      <c r="J78" s="4"/>
      <c r="K78" s="4"/>
      <c r="L78" s="4"/>
      <c r="M78" s="4"/>
      <c r="N78" s="4"/>
    </row>
    <row r="79" spans="3:14" ht="12">
      <c r="C79" s="4"/>
      <c r="D79" s="4"/>
      <c r="E79" s="4"/>
      <c r="F79" s="4"/>
      <c r="G79" s="4"/>
      <c r="H79" s="4"/>
      <c r="I79" s="4"/>
      <c r="J79" s="4"/>
      <c r="K79" s="4"/>
      <c r="L79" s="4"/>
      <c r="M79" s="4"/>
      <c r="N79" s="4"/>
    </row>
    <row r="80" spans="3:14" ht="12">
      <c r="C80" s="4"/>
      <c r="D80" s="4"/>
      <c r="E80" s="4"/>
      <c r="F80" s="4"/>
      <c r="G80" s="4"/>
      <c r="H80" s="4"/>
      <c r="I80" s="4"/>
      <c r="J80" s="4"/>
      <c r="K80" s="4"/>
      <c r="L80" s="4"/>
      <c r="M80" s="4"/>
      <c r="N80" s="4"/>
    </row>
    <row r="81" spans="3:14" ht="12">
      <c r="C81" s="4"/>
      <c r="D81" s="4"/>
      <c r="E81" s="4"/>
      <c r="F81" s="4"/>
      <c r="G81" s="4"/>
      <c r="H81" s="4"/>
      <c r="I81" s="4"/>
      <c r="J81" s="4"/>
      <c r="K81" s="4"/>
      <c r="L81" s="4"/>
      <c r="M81" s="4"/>
      <c r="N81" s="4"/>
    </row>
    <row r="82" spans="3:14" ht="12">
      <c r="C82" s="4"/>
      <c r="D82" s="4"/>
      <c r="E82" s="4"/>
      <c r="F82" s="4"/>
      <c r="G82" s="4"/>
      <c r="H82" s="4"/>
      <c r="I82" s="4"/>
      <c r="J82" s="4"/>
      <c r="K82" s="4"/>
      <c r="L82" s="4"/>
      <c r="M82" s="4"/>
      <c r="N82" s="4"/>
    </row>
    <row r="83" spans="3:14" ht="12">
      <c r="C83" s="4"/>
      <c r="D83" s="4"/>
      <c r="E83" s="4"/>
      <c r="F83" s="4"/>
      <c r="G83" s="4"/>
      <c r="H83" s="4"/>
      <c r="I83" s="4"/>
      <c r="J83" s="4"/>
      <c r="K83" s="4"/>
      <c r="L83" s="4"/>
      <c r="M83" s="4"/>
      <c r="N83" s="4"/>
    </row>
    <row r="84" spans="3:14" ht="12">
      <c r="C84" s="4"/>
      <c r="D84" s="4"/>
      <c r="E84" s="4"/>
      <c r="F84" s="4"/>
      <c r="G84" s="4"/>
      <c r="H84" s="4"/>
      <c r="I84" s="4"/>
      <c r="J84" s="4"/>
      <c r="K84" s="4"/>
      <c r="L84" s="4"/>
      <c r="M84" s="4"/>
      <c r="N84" s="4"/>
    </row>
    <row r="85" spans="3:14" ht="12">
      <c r="C85" s="4"/>
      <c r="D85" s="4"/>
      <c r="E85" s="4"/>
      <c r="F85" s="4"/>
      <c r="G85" s="4"/>
      <c r="H85" s="4"/>
      <c r="I85" s="4"/>
      <c r="J85" s="4"/>
      <c r="K85" s="4"/>
      <c r="L85" s="4"/>
      <c r="M85" s="4"/>
      <c r="N85" s="4"/>
    </row>
    <row r="86" spans="3:14" ht="12">
      <c r="C86" s="4"/>
      <c r="D86" s="4"/>
      <c r="E86" s="4"/>
      <c r="F86" s="4"/>
      <c r="G86" s="4"/>
      <c r="H86" s="4"/>
      <c r="I86" s="4"/>
      <c r="J86" s="4"/>
      <c r="K86" s="4"/>
      <c r="L86" s="4"/>
      <c r="M86" s="4"/>
      <c r="N86" s="4"/>
    </row>
    <row r="87" spans="3:14" ht="12">
      <c r="C87" s="4"/>
      <c r="D87" s="4"/>
      <c r="E87" s="4"/>
      <c r="F87" s="4"/>
      <c r="G87" s="4"/>
      <c r="H87" s="4"/>
      <c r="I87" s="4"/>
      <c r="J87" s="4"/>
      <c r="K87" s="4"/>
      <c r="L87" s="4"/>
      <c r="M87" s="4"/>
      <c r="N87" s="4"/>
    </row>
    <row r="88" spans="3:14" ht="12">
      <c r="C88" s="4"/>
      <c r="D88" s="4"/>
      <c r="E88" s="4"/>
      <c r="F88" s="4"/>
      <c r="G88" s="4"/>
      <c r="H88" s="4"/>
      <c r="I88" s="4"/>
      <c r="J88" s="4"/>
      <c r="K88" s="4"/>
      <c r="L88" s="4"/>
      <c r="M88" s="4"/>
      <c r="N88" s="4"/>
    </row>
    <row r="89" spans="3:14" ht="12">
      <c r="C89" s="4"/>
      <c r="D89" s="4"/>
      <c r="E89" s="4"/>
      <c r="F89" s="4"/>
      <c r="G89" s="4"/>
      <c r="H89" s="4"/>
      <c r="I89" s="4"/>
      <c r="J89" s="4"/>
      <c r="K89" s="4"/>
      <c r="L89" s="4"/>
      <c r="M89" s="4"/>
      <c r="N89" s="4"/>
    </row>
    <row r="90" spans="3:14" ht="12">
      <c r="C90" s="4"/>
      <c r="D90" s="4"/>
      <c r="E90" s="4"/>
      <c r="F90" s="4"/>
      <c r="G90" s="4"/>
      <c r="H90" s="4"/>
      <c r="I90" s="4"/>
      <c r="J90" s="4"/>
      <c r="K90" s="4"/>
      <c r="L90" s="4"/>
      <c r="M90" s="4"/>
      <c r="N90" s="4"/>
    </row>
    <row r="91" spans="3:14" ht="12">
      <c r="C91" s="4"/>
      <c r="D91" s="4"/>
      <c r="E91" s="4"/>
      <c r="F91" s="4"/>
      <c r="G91" s="4"/>
      <c r="H91" s="4"/>
      <c r="I91" s="4"/>
      <c r="J91" s="4"/>
      <c r="K91" s="4"/>
      <c r="L91" s="4"/>
      <c r="M91" s="4"/>
      <c r="N91" s="4"/>
    </row>
    <row r="92" spans="3:14" ht="12">
      <c r="C92" s="4"/>
      <c r="D92" s="4"/>
      <c r="E92" s="4"/>
      <c r="F92" s="4"/>
      <c r="G92" s="4"/>
      <c r="H92" s="4"/>
      <c r="I92" s="4"/>
      <c r="J92" s="4"/>
      <c r="K92" s="4"/>
      <c r="L92" s="4"/>
      <c r="M92" s="4"/>
      <c r="N92" s="4"/>
    </row>
    <row r="93" spans="3:14" ht="12">
      <c r="C93" s="4"/>
      <c r="D93" s="4"/>
      <c r="E93" s="4"/>
      <c r="F93" s="4"/>
      <c r="G93" s="4"/>
      <c r="H93" s="4"/>
      <c r="I93" s="4"/>
      <c r="J93" s="4"/>
      <c r="K93" s="4"/>
      <c r="L93" s="4"/>
      <c r="M93" s="4"/>
      <c r="N93" s="4"/>
    </row>
    <row r="94" spans="3:14" ht="12">
      <c r="C94" s="4"/>
      <c r="D94" s="4"/>
      <c r="E94" s="4"/>
      <c r="F94" s="4"/>
      <c r="G94" s="4"/>
      <c r="H94" s="4"/>
      <c r="I94" s="4"/>
      <c r="J94" s="4"/>
      <c r="K94" s="4"/>
      <c r="L94" s="4"/>
      <c r="M94" s="4"/>
      <c r="N94" s="4"/>
    </row>
    <row r="95" spans="3:14" ht="12">
      <c r="C95" s="4"/>
      <c r="D95" s="4"/>
      <c r="E95" s="4"/>
      <c r="F95" s="4"/>
      <c r="G95" s="4"/>
      <c r="H95" s="4"/>
      <c r="I95" s="4"/>
      <c r="J95" s="4"/>
      <c r="K95" s="4"/>
      <c r="L95" s="4"/>
      <c r="M95" s="4"/>
      <c r="N95" s="4"/>
    </row>
    <row r="96" spans="3:14" ht="12">
      <c r="C96" s="4"/>
      <c r="D96" s="4"/>
      <c r="E96" s="4"/>
      <c r="F96" s="4"/>
      <c r="G96" s="4"/>
      <c r="H96" s="4"/>
      <c r="I96" s="4"/>
      <c r="J96" s="4"/>
      <c r="K96" s="4"/>
      <c r="L96" s="4"/>
      <c r="M96" s="4"/>
      <c r="N96" s="4"/>
    </row>
    <row r="97" spans="3:14" ht="12">
      <c r="C97" s="4"/>
      <c r="D97" s="4"/>
      <c r="E97" s="4"/>
      <c r="F97" s="4"/>
      <c r="G97" s="4"/>
      <c r="H97" s="4"/>
      <c r="I97" s="4"/>
      <c r="J97" s="4"/>
      <c r="K97" s="4"/>
      <c r="L97" s="4"/>
      <c r="M97" s="4"/>
      <c r="N97" s="4"/>
    </row>
    <row r="98" spans="3:14" ht="12">
      <c r="C98" s="4"/>
      <c r="D98" s="4"/>
      <c r="E98" s="4"/>
      <c r="F98" s="4"/>
      <c r="G98" s="4"/>
      <c r="H98" s="4"/>
      <c r="I98" s="4"/>
      <c r="J98" s="4"/>
      <c r="K98" s="4"/>
      <c r="L98" s="4"/>
      <c r="M98" s="4"/>
      <c r="N98" s="4"/>
    </row>
    <row r="99" spans="3:14" ht="12">
      <c r="C99" s="4"/>
      <c r="D99" s="4"/>
      <c r="E99" s="4"/>
      <c r="F99" s="4"/>
      <c r="G99" s="4"/>
      <c r="H99" s="4"/>
      <c r="I99" s="4"/>
      <c r="J99" s="4"/>
      <c r="K99" s="4"/>
      <c r="L99" s="4"/>
      <c r="M99" s="4"/>
      <c r="N99" s="4"/>
    </row>
    <row r="100" spans="3:14" ht="12">
      <c r="C100" s="4"/>
      <c r="D100" s="4"/>
      <c r="E100" s="4"/>
      <c r="F100" s="4"/>
      <c r="G100" s="4"/>
      <c r="H100" s="4"/>
      <c r="I100" s="4"/>
      <c r="J100" s="4"/>
      <c r="K100" s="4"/>
      <c r="L100" s="4"/>
      <c r="M100" s="4"/>
      <c r="N100" s="4"/>
    </row>
    <row r="101" spans="3:14" ht="12">
      <c r="C101" s="4"/>
      <c r="D101" s="4"/>
      <c r="E101" s="4"/>
      <c r="F101" s="4"/>
      <c r="G101" s="4"/>
      <c r="H101" s="4"/>
      <c r="I101" s="4"/>
      <c r="J101" s="4"/>
      <c r="K101" s="4"/>
      <c r="L101" s="4"/>
      <c r="M101" s="4"/>
      <c r="N101" s="4"/>
    </row>
    <row r="102" spans="3:14" ht="12">
      <c r="C102" s="4"/>
      <c r="D102" s="4"/>
      <c r="E102" s="4"/>
      <c r="F102" s="4"/>
      <c r="G102" s="4"/>
      <c r="H102" s="4"/>
      <c r="I102" s="4"/>
      <c r="J102" s="4"/>
      <c r="K102" s="4"/>
      <c r="L102" s="4"/>
      <c r="M102" s="4"/>
      <c r="N102" s="4"/>
    </row>
    <row r="103" spans="3:14" ht="12">
      <c r="C103" s="4"/>
      <c r="D103" s="4"/>
      <c r="E103" s="4"/>
      <c r="F103" s="4"/>
      <c r="G103" s="4"/>
      <c r="H103" s="4"/>
      <c r="I103" s="4"/>
      <c r="J103" s="4"/>
      <c r="K103" s="4"/>
      <c r="L103" s="4"/>
      <c r="M103" s="4"/>
      <c r="N103" s="4"/>
    </row>
  </sheetData>
  <sheetProtection/>
  <dataValidations count="1">
    <dataValidation type="list" allowBlank="1" showInputMessage="1" showErrorMessage="1" sqref="B4">
      <formula1>$D$21:$M$21</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Amit Tandon</dc:creator>
  <cp:keywords/>
  <dc:description/>
  <cp:lastModifiedBy>Amit Tandon</cp:lastModifiedBy>
  <dcterms:created xsi:type="dcterms:W3CDTF">2009-11-02T09:42:06Z</dcterms:created>
  <dcterms:modified xsi:type="dcterms:W3CDTF">2011-02-10T05:19:59Z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