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55" windowHeight="8445" tabRatio="992" activeTab="0"/>
  </bookViews>
  <sheets>
    <sheet name="Main Menu" sheetId="1" r:id="rId1"/>
    <sheet name="1 - Time Value of Money" sheetId="2" r:id="rId2"/>
    <sheet name="2 - Risk Return Concepts" sheetId="3" r:id="rId3"/>
    <sheet name="3 - Option Pricing" sheetId="4" r:id="rId4"/>
    <sheet name="CB_DATA_" sheetId="5" state="veryHidden" r:id="rId5"/>
    <sheet name="4 - Cost Benefit Analysis" sheetId="6" r:id="rId6"/>
    <sheet name="4.1 Simulation" sheetId="7" r:id="rId7"/>
    <sheet name="5 - Use of Leverage" sheetId="8" r:id="rId8"/>
    <sheet name="6 - Optimal Capital Structure" sheetId="9" r:id="rId9"/>
  </sheets>
  <definedNames>
    <definedName name="CB_073e25fd744f4877b499171db7a99aa6" localSheetId="5" hidden="1">'4 - Cost Benefit Analysis'!$R$72</definedName>
    <definedName name="CB_0ac781f1859345349101bbf1777d77e1" localSheetId="5" hidden="1">'4 - Cost Benefit Analysis'!$O$71</definedName>
    <definedName name="CB_115ef79d9be04db9963d3db2096be75c" localSheetId="5" hidden="1">'4 - Cost Benefit Analysis'!$I$77</definedName>
    <definedName name="CB_1b437240cf464463afcc8253593859c3" localSheetId="5" hidden="1">'4 - Cost Benefit Analysis'!$L$72</definedName>
    <definedName name="CB_2013d9508b6b4123bb76b66da9851084" localSheetId="5" hidden="1">'4 - Cost Benefit Analysis'!$R$78</definedName>
    <definedName name="CB_2d02b9a8917d4af391efc0e6af918b51" localSheetId="5" hidden="1">'4 - Cost Benefit Analysis'!$O$76</definedName>
    <definedName name="CB_31f068c4c4d143e0ae54651af9d36c49" localSheetId="5" hidden="1">'4 - Cost Benefit Analysis'!$R$77</definedName>
    <definedName name="CB_3682ed624492496ab0660e10b999f771" localSheetId="5" hidden="1">'4 - Cost Benefit Analysis'!$F$72</definedName>
    <definedName name="CB_425ffeb02f3b4df1a7052a338845bc6c" localSheetId="5" hidden="1">'4 - Cost Benefit Analysis'!$F$77</definedName>
    <definedName name="CB_485e3697ffd147d4983cd67291e8da33" localSheetId="5" hidden="1">'4 - Cost Benefit Analysis'!$O$72</definedName>
    <definedName name="CB_53263506492347c28477051a804f977b" localSheetId="5" hidden="1">'4 - Cost Benefit Analysis'!$L$78</definedName>
    <definedName name="CB_55ad8d22381f499e8a8e2c7b0db59bbd" localSheetId="5" hidden="1">'4 - Cost Benefit Analysis'!$F$76</definedName>
    <definedName name="CB_5c8bd111f05049ca8990488ffbc0568b" localSheetId="5" hidden="1">'4 - Cost Benefit Analysis'!$I$72</definedName>
    <definedName name="CB_62fc7009d62844b49913607999e1cbef" localSheetId="5" hidden="1">'4 - Cost Benefit Analysis'!$I$76</definedName>
    <definedName name="CB_7d0d9d53f183491293b46791b97b6b33" localSheetId="5" hidden="1">'4 - Cost Benefit Analysis'!$L$73</definedName>
    <definedName name="CB_806165c07dbd41b080a0f52216147ab2" localSheetId="5" hidden="1">'4 - Cost Benefit Analysis'!$R$73</definedName>
    <definedName name="CB_9aee75791694455594aa5a0cb2178f4d" localSheetId="5" hidden="1">'4 - Cost Benefit Analysis'!$F$73</definedName>
    <definedName name="CB_9c8499d191294525bfdd262d98ed6191" localSheetId="5" hidden="1">'4 - Cost Benefit Analysis'!$I$71</definedName>
    <definedName name="CB_9f306060d8ba4132ad9aefe9c017f1c7" localSheetId="5" hidden="1">'4 - Cost Benefit Analysis'!$F$71</definedName>
    <definedName name="CB_b45beed1b665473ea055b8daf2ee9a0d" localSheetId="5" hidden="1">'4 - Cost Benefit Analysis'!$L$76</definedName>
    <definedName name="CB_b6552b0227df42f7bc643197ec7182eb" localSheetId="5" hidden="1">'4 - Cost Benefit Analysis'!$F$78</definedName>
    <definedName name="CB_b79facf1dd6c4657a9aa0c9c4174ad56" localSheetId="5" hidden="1">'4 - Cost Benefit Analysis'!$I$73</definedName>
    <definedName name="CB_bb8e69f69ece4062a30849a64314786d" localSheetId="5" hidden="1">'4 - Cost Benefit Analysis'!$I$78</definedName>
    <definedName name="CB_cfd27bde965d4f36aa7adc8008a2439b" localSheetId="5" hidden="1">'4 - Cost Benefit Analysis'!$L$71</definedName>
    <definedName name="CB_d38d7a3e340e4c45a952f9643136c30b" localSheetId="5" hidden="1">'4 - Cost Benefit Analysis'!$O$73</definedName>
    <definedName name="CB_d7185b1f663f46b1ac61f0c63bf5e5c5" localSheetId="5" hidden="1">'4 - Cost Benefit Analysis'!$O$78</definedName>
    <definedName name="CB_e0b32d4ea75841de9e3d2fa19cfdf83b" localSheetId="5" hidden="1">'4 - Cost Benefit Analysis'!$L$77</definedName>
    <definedName name="CB_ed9f01d252cb4af4ae46f6e991598840" localSheetId="5" hidden="1">'4 - Cost Benefit Analysis'!$O$77</definedName>
    <definedName name="CB_ef678a2dc07a471295eaa6af03f4ce1d" localSheetId="5" hidden="1">'4 - Cost Benefit Analysis'!$R$76</definedName>
    <definedName name="CB_ffeb66f6c2b64ac38e119d8c7063907a" localSheetId="5" hidden="1">'4 - Cost Benefit Analysis'!$R$71</definedName>
    <definedName name="CBCR_01f12130d2054fa79dd29d62915398e1" localSheetId="5" hidden="1">'4 - Cost Benefit Analysis'!$K$76</definedName>
    <definedName name="CBCR_08dc1d54e8f641c0ab6fa28aeafde8e5" localSheetId="5" hidden="1">'4 - Cost Benefit Analysis'!$G$77</definedName>
    <definedName name="CBCR_0a7bced08eee4bd4a0f8f1a0376e1c37" localSheetId="5" hidden="1">'4 - Cost Benefit Analysis'!$K$72</definedName>
    <definedName name="CBCR_193e6d5d10e341d3b48ea7f57a3babd3" localSheetId="5" hidden="1">'4 - Cost Benefit Analysis'!$R$73</definedName>
    <definedName name="CBCR_1e285f4b611e48218e53fcfef6716ff4" localSheetId="5" hidden="1">'4 - Cost Benefit Analysis'!$L$78</definedName>
    <definedName name="CBCR_1f29fb1ca11448fd9f165c4f6f7607aa" localSheetId="5" hidden="1">'4 - Cost Benefit Analysis'!$E$71</definedName>
    <definedName name="CBCR_23d80a4c37844865b334a97a0ab1318f" localSheetId="5" hidden="1">'4 - Cost Benefit Analysis'!$N$76</definedName>
    <definedName name="CBCR_26ecba55bc4d4ac8b5be5c430273cc51" localSheetId="5" hidden="1">'4 - Cost Benefit Analysis'!$G$72</definedName>
    <definedName name="CBCR_28e70f6683f6496e8aceb5eb37f068c8" localSheetId="5" hidden="1">'4 - Cost Benefit Analysis'!$S$76</definedName>
    <definedName name="CBCR_3aa2e3ad92dd4448985aabeed9748136" localSheetId="5" hidden="1">'4 - Cost Benefit Analysis'!$P$72</definedName>
    <definedName name="CBCR_3c644e3d3b674cc39b908aa38a0f6e13" localSheetId="5" hidden="1">'4 - Cost Benefit Analysis'!$F$78</definedName>
    <definedName name="CBCR_3cdc905ba47449fd988f1e315b980eb6" localSheetId="5" hidden="1">'4 - Cost Benefit Analysis'!$E$76</definedName>
    <definedName name="CBCR_3d2c626f65804c17b2c351e989843689" localSheetId="5" hidden="1">'4 - Cost Benefit Analysis'!$G$76</definedName>
    <definedName name="CBCR_3ee05c6344144879b198d8316bb30702" localSheetId="5" hidden="1">'4 - Cost Benefit Analysis'!$Q$71</definedName>
    <definedName name="CBCR_4242d5be284c4038a6c1a6c2f864e766" localSheetId="5" hidden="1">'4 - Cost Benefit Analysis'!$R$78</definedName>
    <definedName name="CBCR_42c2ccd01e9d4db49acecddfe0fb06d5" localSheetId="5" hidden="1">'4 - Cost Benefit Analysis'!$N$72</definedName>
    <definedName name="CBCR_52548e0a7e6440169304f4e88ea9ad07" localSheetId="5" hidden="1">'4 - Cost Benefit Analysis'!$M$77</definedName>
    <definedName name="CBCR_5312ceb5264a4ed7a7cf8e0799683b85" localSheetId="5" hidden="1">'4 - Cost Benefit Analysis'!$K$77</definedName>
    <definedName name="CBCR_5fcd15094ddb412c84786c948a32019b" localSheetId="5" hidden="1">'4 - Cost Benefit Analysis'!$Q$76</definedName>
    <definedName name="CBCR_65f0c27f41d84a248b592087f19a1279" localSheetId="5" hidden="1">'4 - Cost Benefit Analysis'!$S$71</definedName>
    <definedName name="CBCR_6601d857b0dd4a04ae94df414a1a9ada" localSheetId="5" hidden="1">'4 - Cost Benefit Analysis'!$M$72</definedName>
    <definedName name="CBCR_67e9f481b05d493495fb5f09894ed756" localSheetId="5" hidden="1">'4 - Cost Benefit Analysis'!$H$72</definedName>
    <definedName name="CBCR_6c94406756d54eb8a5f81f5b0033f41f" localSheetId="5" hidden="1">'4 - Cost Benefit Analysis'!$L$73</definedName>
    <definedName name="CBCR_7037df2c015a428e8eb01dcd23f8dede" localSheetId="5" hidden="1">'4 - Cost Benefit Analysis'!$H$71</definedName>
    <definedName name="CBCR_70787a4567a54e27b27c030dc5c82fac" localSheetId="5" hidden="1">'4 - Cost Benefit Analysis'!$F$73</definedName>
    <definedName name="CBCR_83a9abe869314653af5aae3a02447f3e" localSheetId="5" hidden="1">'4 - Cost Benefit Analysis'!$J$77</definedName>
    <definedName name="CBCR_84e1a45675444ea3becd55d7996fd4ce" localSheetId="5" hidden="1">'4 - Cost Benefit Analysis'!$Q$77</definedName>
    <definedName name="CBCR_8eb227275dc347c5a2e678f61e54ba67" localSheetId="5" hidden="1">'4 - Cost Benefit Analysis'!$O$73</definedName>
    <definedName name="CBCR_914c7059bb314edb86abe467d790a934" localSheetId="5" hidden="1">'4 - Cost Benefit Analysis'!$M$71</definedName>
    <definedName name="CBCR_9621b21c8c834a2aa7d196c765d0944c" localSheetId="5" hidden="1">'4 - Cost Benefit Analysis'!$K$71</definedName>
    <definedName name="CBCR_96632d13909a4c5d81d9e56582ecaab7" localSheetId="5" hidden="1">'4 - Cost Benefit Analysis'!$S$77</definedName>
    <definedName name="CBCR_a21415477b934531b2932c63d0079269" localSheetId="5" hidden="1">'4 - Cost Benefit Analysis'!$Q$72</definedName>
    <definedName name="CBCR_a91e7057e68e4fe6bb6d54874b7141c5" localSheetId="5" hidden="1">'4 - Cost Benefit Analysis'!$H$76</definedName>
    <definedName name="CBCR_acb1c5e631294ee1a1da6d1313e9377b" localSheetId="5" hidden="1">'4 - Cost Benefit Analysis'!$O$78</definedName>
    <definedName name="CBCR_aee1021ed6b74868af96e47de14fd14a" localSheetId="5" hidden="1">'4 - Cost Benefit Analysis'!$H$77</definedName>
    <definedName name="CBCR_bc40559fc8124b6db59f7d66b60d0b80" localSheetId="5" hidden="1">'4 - Cost Benefit Analysis'!$S$72</definedName>
    <definedName name="CBCR_be8be78df2ec466eb9fa18eda19f69b7" localSheetId="5" hidden="1">'4 - Cost Benefit Analysis'!$E$77</definedName>
    <definedName name="CBCR_c31078f4261d46a3bca2f7b5b5afd688" localSheetId="5" hidden="1">'4 - Cost Benefit Analysis'!$P$76</definedName>
    <definedName name="CBCR_c7613daed5b546cfa1d7e7c9d294e156" localSheetId="5" hidden="1">'4 - Cost Benefit Analysis'!$J$71</definedName>
    <definedName name="CBCR_d347216d9035476287e7d033c306329b" localSheetId="5" hidden="1">'4 - Cost Benefit Analysis'!$G$71</definedName>
    <definedName name="CBCR_d5ff56dbc84348adbf54dae69fb12052" localSheetId="5" hidden="1">'4 - Cost Benefit Analysis'!$N$77</definedName>
    <definedName name="CBCR_d90e8cbb65114365b7c9c2cd024e6bb9" localSheetId="5" hidden="1">'4 - Cost Benefit Analysis'!$I$73</definedName>
    <definedName name="CBCR_db9cb99ff9b649dc9342d53cebb0d44a" localSheetId="5" hidden="1">'4 - Cost Benefit Analysis'!$P$77</definedName>
    <definedName name="CBCR_dcd2081e9e0c4d0fa59f001ea0001c5f" localSheetId="5" hidden="1">'4 - Cost Benefit Analysis'!$N$71</definedName>
    <definedName name="CBCR_f163daa1649e4f41a282e0ebf9fe6572" localSheetId="5" hidden="1">'4 - Cost Benefit Analysis'!$J$72</definedName>
    <definedName name="CBCR_f33b23d130954fd1862b0856656cf66d" localSheetId="5" hidden="1">'4 - Cost Benefit Analysis'!$M$76</definedName>
    <definedName name="CBCR_f4d92415c0c342cc95f110f37cf4966e" localSheetId="5" hidden="1">'4 - Cost Benefit Analysis'!$E$72</definedName>
    <definedName name="CBCR_f94671f74103448b831f018f337c1651" localSheetId="5" hidden="1">'4 - Cost Benefit Analysis'!$P$71</definedName>
    <definedName name="CBCR_fca69301461c40cf884b0f88251b3662" localSheetId="5" hidden="1">'4 - Cost Benefit Analysis'!$I$78</definedName>
    <definedName name="CBCR_fed6b6142fe14e7a85af6548adfdcc78" localSheetId="5" hidden="1">'4 - Cost Benefit Analysis'!$J$76</definedName>
    <definedName name="CBWorkbookPriority" localSheetId="4" hidden="1">-1477025290</definedName>
    <definedName name="CBx_287ff1dfbb4b456da7c1e3fe016e9daa" localSheetId="4" hidden="1">"'CB_DATA_'!$A$1"</definedName>
    <definedName name="CBx_cd2a433856c54829a956619eac1c87aa" localSheetId="4" hidden="1">"'4 - Cost Benefit Analysis'!$A$1"</definedName>
    <definedName name="CBx_Sheet_Guid" localSheetId="5" hidden="1">"'cd2a4338-56c5-4829-a956-619eac1c87aa"</definedName>
    <definedName name="CBx_Sheet_Guid" localSheetId="4" hidden="1">"'287ff1df-bb4b-456d-a7c1-e3fe016e9daa"</definedName>
    <definedName name="CBx_StorageType" localSheetId="5" hidden="1">1</definedName>
    <definedName name="CBx_StorageType" localSheetId="4" hidden="1">1</definedName>
    <definedName name="_xlnm.Print_Area" localSheetId="5">'4 - Cost Benefit Analysis'!$A$53:$S$79</definedName>
    <definedName name="_xlnm.Print_Area" localSheetId="6">'4.1 Simulation'!$A$1:$J$569</definedName>
  </definedNames>
  <calcPr fullCalcOnLoad="1"/>
</workbook>
</file>

<file path=xl/comments4.xml><?xml version="1.0" encoding="utf-8"?>
<comments xmlns="http://schemas.openxmlformats.org/spreadsheetml/2006/main">
  <authors>
    <author>Authorized User</author>
  </authors>
  <commentList>
    <comment ref="E29" authorId="0">
      <text>
        <r>
          <rPr>
            <sz val="8"/>
            <rFont val="Tahoma"/>
            <family val="0"/>
          </rPr>
          <t xml:space="preserve">If an option is out of the money, then the intrinsic value is 0.
</t>
        </r>
      </text>
    </comment>
    <comment ref="E39" authorId="0">
      <text>
        <r>
          <rPr>
            <sz val="8"/>
            <rFont val="Tahoma"/>
            <family val="0"/>
          </rPr>
          <t xml:space="preserve">If an option is out of the money, then the intrinsic value is 0.
</t>
        </r>
      </text>
    </comment>
  </commentList>
</comments>
</file>

<file path=xl/comments6.xml><?xml version="1.0" encoding="utf-8"?>
<comments xmlns="http://schemas.openxmlformats.org/spreadsheetml/2006/main">
  <authors>
    <author>Authorized User</author>
  </authors>
  <commentList>
    <comment ref="C60" authorId="0">
      <text>
        <r>
          <rPr>
            <b/>
            <sz val="8"/>
            <rFont val="Tahoma"/>
            <family val="0"/>
          </rPr>
          <t>Subtract this percentage from your most likely estimate which is calculated in your previous steps.</t>
        </r>
      </text>
    </comment>
    <comment ref="D60" authorId="0">
      <text>
        <r>
          <rPr>
            <b/>
            <sz val="8"/>
            <rFont val="Tahoma"/>
            <family val="0"/>
          </rPr>
          <t>Add this percentage to your most likely estimate which is calculated in your previous steps.</t>
        </r>
      </text>
    </comment>
  </commentList>
</comments>
</file>

<file path=xl/comments8.xml><?xml version="1.0" encoding="utf-8"?>
<comments xmlns="http://schemas.openxmlformats.org/spreadsheetml/2006/main">
  <authors>
    <author>Authorized User</author>
  </authors>
  <commentList>
    <comment ref="I77" authorId="0">
      <text>
        <r>
          <rPr>
            <sz val="8"/>
            <rFont val="Tahoma"/>
            <family val="2"/>
          </rPr>
          <t>For every 1% change in EBIT, there is a 2.7% change in Net Income</t>
        </r>
      </text>
    </comment>
  </commentList>
</comments>
</file>

<file path=xl/sharedStrings.xml><?xml version="1.0" encoding="utf-8"?>
<sst xmlns="http://schemas.openxmlformats.org/spreadsheetml/2006/main" count="986" uniqueCount="532">
  <si>
    <t>Fundamentals of Business Finance - Part 2</t>
  </si>
  <si>
    <t>Time Value of Money</t>
  </si>
  <si>
    <t>Although you might start with historical cost to help understand the future, you will discount these dollars to</t>
  </si>
  <si>
    <t xml:space="preserve"> </t>
  </si>
  <si>
    <t>1. Start with the historical cost of what you know is true per your accounting records:</t>
  </si>
  <si>
    <t>Table of Contents</t>
  </si>
  <si>
    <t xml:space="preserve">This workbook captures a few important concepts that are taught in the course Fundamentals of </t>
  </si>
  <si>
    <t>Transaction</t>
  </si>
  <si>
    <t>Date</t>
  </si>
  <si>
    <t>Transaction Description</t>
  </si>
  <si>
    <t>Amount</t>
  </si>
  <si>
    <t>Total Annual Maintenance Cost - 2009</t>
  </si>
  <si>
    <t>Maintenance &amp; Repair Cost - Equipment</t>
  </si>
  <si>
    <t>Total Maintenance Cost</t>
  </si>
  <si>
    <t>Assume the company has a cost of capital for funds of &gt;</t>
  </si>
  <si>
    <t>Accounting</t>
  </si>
  <si>
    <t>Value</t>
  </si>
  <si>
    <t>Finance</t>
  </si>
  <si>
    <t>Future</t>
  </si>
  <si>
    <t>Value Adj</t>
  </si>
  <si>
    <t>Year</t>
  </si>
  <si>
    <t>Period</t>
  </si>
  <si>
    <t>2. Forecast into the future (5 years) using Constant Dollars (Accounting) vs. Future Dollars (Finance)</t>
  </si>
  <si>
    <t>Accounting views the future in terms of constant dollars</t>
  </si>
  <si>
    <t>Finance accounts for inflation and risk resulting in a much different value</t>
  </si>
  <si>
    <t>Tab</t>
  </si>
  <si>
    <t>Contents</t>
  </si>
  <si>
    <t>3. How much money should you invest today if you want to have $ 100,000 five years from now. Assume you can</t>
  </si>
  <si>
    <t xml:space="preserve">earn 7% each year. </t>
  </si>
  <si>
    <t>Future Value 3 years from now is</t>
  </si>
  <si>
    <t>Reciprocal of Future Value Factor</t>
  </si>
  <si>
    <t>Present Value</t>
  </si>
  <si>
    <t>4. How much money will you have if you invest $ 10,000 every year for the next five years and you expect to</t>
  </si>
  <si>
    <t>Annual payments each year</t>
  </si>
  <si>
    <t>Future Value of Annuity Interest Factor</t>
  </si>
  <si>
    <t xml:space="preserve">Future Value  </t>
  </si>
  <si>
    <t>earn 6% each year? Assume that payments are made at the end of each year.</t>
  </si>
  <si>
    <t>If payments are made at the beginning of each year:</t>
  </si>
  <si>
    <t>Account for final year's earnings</t>
  </si>
  <si>
    <t>5. What is the present value of an annuity that pays $ 6,000 at the end of each year and you plan to earn</t>
  </si>
  <si>
    <t>5% each year for the next ten years?</t>
  </si>
  <si>
    <t>Annual investment amount each year</t>
  </si>
  <si>
    <t>Present Value of Annuity Interest Factor</t>
  </si>
  <si>
    <t xml:space="preserve">Present Value  </t>
  </si>
  <si>
    <t xml:space="preserve">a present value to more accurately reflect the risk that takes place going forward into the future. You might also </t>
  </si>
  <si>
    <t>calculate a Future Value when you know what the present value is. Some examples are listed below:</t>
  </si>
  <si>
    <t>1. Identify risk events and their chance of taking place in the future:</t>
  </si>
  <si>
    <t>Risk Return Concepts</t>
  </si>
  <si>
    <t>Risk Event / Potential Outcome</t>
  </si>
  <si>
    <t>Probability</t>
  </si>
  <si>
    <t>Lower demand for services</t>
  </si>
  <si>
    <t>Demand same as last year</t>
  </si>
  <si>
    <t>Increased demand / strong economy</t>
  </si>
  <si>
    <t>Total</t>
  </si>
  <si>
    <t>Return</t>
  </si>
  <si>
    <t>Expected</t>
  </si>
  <si>
    <t>Expected Return</t>
  </si>
  <si>
    <t>3. Measure the risk by expressing the variability of outcomes in relation to your expected return. This</t>
  </si>
  <si>
    <t>will take the form of something called the Standard Deviation:</t>
  </si>
  <si>
    <t>Difference</t>
  </si>
  <si>
    <t>Squared</t>
  </si>
  <si>
    <t>Deviation</t>
  </si>
  <si>
    <t>Standard Deviation</t>
  </si>
  <si>
    <t>Sum of Deviations</t>
  </si>
  <si>
    <t>This represents your probability distribution table</t>
  </si>
  <si>
    <t>Apply your probabilities to</t>
  </si>
  <si>
    <t>arrive at expected values</t>
  </si>
  <si>
    <t>Standard deviation measures risk by</t>
  </si>
  <si>
    <t>explaining variability from the expected value</t>
  </si>
  <si>
    <t>Risk is very essential to finance. You need to understand how to measure risk and how it relates to returns:</t>
  </si>
  <si>
    <t>2. Next calculate your expected return or value based on your probability distribution:</t>
  </si>
  <si>
    <t>4. Compare the risk or standard deviation of the investment with other investments to better</t>
  </si>
  <si>
    <t>understand your relative risk across a portfolio of investments:</t>
  </si>
  <si>
    <t>Targeted Investment</t>
  </si>
  <si>
    <t>Alternative Investment - A</t>
  </si>
  <si>
    <t>Alternative Investment - B</t>
  </si>
  <si>
    <t>Alternative Investment - C</t>
  </si>
  <si>
    <t>Standard</t>
  </si>
  <si>
    <t>Investment</t>
  </si>
  <si>
    <t>Average</t>
  </si>
  <si>
    <t>When you look at several investments across the portfolio</t>
  </si>
  <si>
    <t>you begin to see evidence of the risk return tradeoff; i.e.</t>
  </si>
  <si>
    <t>higher return type investments tend to have higher risk.</t>
  </si>
  <si>
    <t>5. Instead of measuring the "Absolute" risk (best used for similar type investments), you should use</t>
  </si>
  <si>
    <t>the Coefficient of Variation to measure the "Relative" risk:</t>
  </si>
  <si>
    <t>Average or Expected Return</t>
  </si>
  <si>
    <t>Coefficient of Variation</t>
  </si>
  <si>
    <t>&lt; - Measures the relative variability, can be compared to other investments</t>
  </si>
  <si>
    <t>&lt; - Measures the absolute variability, cannot be compared to other investments</t>
  </si>
  <si>
    <t>6. Determining the Required Rate of Return from the bottom up (Risk Free Rate + Risk Premiums):</t>
  </si>
  <si>
    <t>Real Rate of Return is the minimum rate all investors require</t>
  </si>
  <si>
    <t>Risk Free Rate of Return</t>
  </si>
  <si>
    <t>Risk Premiums:</t>
  </si>
  <si>
    <t>Risk of Default - not getting paid</t>
  </si>
  <si>
    <t>&lt; - Usually derived from U.S. Treasury Securities or Certificates of Deposit</t>
  </si>
  <si>
    <t>Inflation Adjustment - Need to recover loss in purchasing power</t>
  </si>
  <si>
    <t>Total Required Rate of Return</t>
  </si>
  <si>
    <t>Risk of Marketability - not able to sell</t>
  </si>
  <si>
    <t>Risk of Maturity - time until payback</t>
  </si>
  <si>
    <t>Option Pricing</t>
  </si>
  <si>
    <t>A popular type of derivative instrument is an Option. The premium or price paid for an option is</t>
  </si>
  <si>
    <t>described below:</t>
  </si>
  <si>
    <t>1. Option Premium = Intrinsic Value + Time Value</t>
  </si>
  <si>
    <t>2. Intrinsic Value = (Assumes Stock Price &gt; Exercise Price for Calls and Exercise Price &gt; Stock Price for Puts)</t>
  </si>
  <si>
    <t>a. Call Option: Intrinsic Value = Stock Price - Exercise Price</t>
  </si>
  <si>
    <t>3. Time Value = Option Premium - Intrinsic Value</t>
  </si>
  <si>
    <t>b. Put Option: Intrinsic Value = Exercise Price - Stock Price</t>
  </si>
  <si>
    <t>A. Basic Pricing Structure for Options</t>
  </si>
  <si>
    <t>B. Example of Option Pricing</t>
  </si>
  <si>
    <t>1. Call Option:</t>
  </si>
  <si>
    <t>Option Premium</t>
  </si>
  <si>
    <t>Exercise Price</t>
  </si>
  <si>
    <t>Stock Price</t>
  </si>
  <si>
    <t>2. Put Option:</t>
  </si>
  <si>
    <t>Intrinsic Value =</t>
  </si>
  <si>
    <t>Time Value =</t>
  </si>
  <si>
    <t>In the</t>
  </si>
  <si>
    <t>Money</t>
  </si>
  <si>
    <t>Out the</t>
  </si>
  <si>
    <t>Option Price</t>
  </si>
  <si>
    <t>C. Simple Example of Black-Scholes Model</t>
  </si>
  <si>
    <t>Cost Benefit Analysis</t>
  </si>
  <si>
    <t>Stock Price currently sells at</t>
  </si>
  <si>
    <t>1. Inputs into Model:</t>
  </si>
  <si>
    <t>2. Calculate Option Price - Call</t>
  </si>
  <si>
    <t>Risk Free Rate</t>
  </si>
  <si>
    <t>Option Exercise Price</t>
  </si>
  <si>
    <t>Duration in relation to 1 Year</t>
  </si>
  <si>
    <t>Where:</t>
  </si>
  <si>
    <t>And:</t>
  </si>
  <si>
    <t>N(d) = the probability that a random draw from a standard normal distribution will be less than (d).</t>
  </si>
  <si>
    <t>X = exercise price</t>
  </si>
  <si>
    <t>e = 2.71828, the base of the natural log function</t>
  </si>
  <si>
    <t>r = risk-free interest rate (annualized continuously compounded rate on a safe asset with the same maturity as the expiration of the option; usually the money market rate for a maturity equal to the option's maturity.)</t>
  </si>
  <si>
    <t>T = time to option's maturity, in years</t>
  </si>
  <si>
    <t>ln = natural logarithm function</t>
  </si>
  <si>
    <t>σ = standard deviation of the annualized continuously compounded rate of return on the stock</t>
  </si>
  <si>
    <t>Function BlackScholes(Underlying, Strike, RiskFree, expTime, Volatility)</t>
  </si>
  <si>
    <t xml:space="preserve">    d1 = (Log(Underlying / Strike) + RiskFree * expTime) / (Volatility * Sqr(expTime)) + _</t>
  </si>
  <si>
    <t xml:space="preserve">    0.5 * Volatility * Sqr(expTime)</t>
  </si>
  <si>
    <t xml:space="preserve">    BlackScholes = Underlying * Application.NormSDist(d1) - Strike * Exp(-expTime * RiskFree) * _</t>
  </si>
  <si>
    <t xml:space="preserve">    Application.NormSDist(d1 - Volatility * Sqr(expTime))</t>
  </si>
  <si>
    <t>End Function</t>
  </si>
  <si>
    <t>Most Likely</t>
  </si>
  <si>
    <t>Formula:</t>
  </si>
  <si>
    <t>Variables:</t>
  </si>
  <si>
    <r>
      <t>C</t>
    </r>
    <r>
      <rPr>
        <vertAlign val="subscript"/>
        <sz val="10"/>
        <rFont val="Arial"/>
        <family val="2"/>
      </rPr>
      <t>0</t>
    </r>
    <r>
      <rPr>
        <sz val="10"/>
        <rFont val="Arial"/>
        <family val="2"/>
      </rPr>
      <t xml:space="preserve"> = S</t>
    </r>
    <r>
      <rPr>
        <vertAlign val="subscript"/>
        <sz val="10"/>
        <rFont val="Arial"/>
        <family val="2"/>
      </rPr>
      <t>0</t>
    </r>
    <r>
      <rPr>
        <sz val="10"/>
        <rFont val="Arial"/>
        <family val="2"/>
      </rPr>
      <t>N(d</t>
    </r>
    <r>
      <rPr>
        <vertAlign val="subscript"/>
        <sz val="10"/>
        <rFont val="Arial"/>
        <family val="2"/>
      </rPr>
      <t>1</t>
    </r>
    <r>
      <rPr>
        <sz val="10"/>
        <rFont val="Arial"/>
        <family val="2"/>
      </rPr>
      <t>) - Xe</t>
    </r>
    <r>
      <rPr>
        <vertAlign val="superscript"/>
        <sz val="10"/>
        <rFont val="Arial"/>
        <family val="2"/>
      </rPr>
      <t>-rT</t>
    </r>
    <r>
      <rPr>
        <sz val="10"/>
        <rFont val="Arial"/>
        <family val="2"/>
      </rPr>
      <t>N(d</t>
    </r>
    <r>
      <rPr>
        <vertAlign val="subscript"/>
        <sz val="10"/>
        <rFont val="Arial"/>
        <family val="2"/>
      </rPr>
      <t>2</t>
    </r>
    <r>
      <rPr>
        <sz val="10"/>
        <rFont val="Arial"/>
        <family val="2"/>
      </rPr>
      <t>)</t>
    </r>
  </si>
  <si>
    <r>
      <t>d</t>
    </r>
    <r>
      <rPr>
        <vertAlign val="subscript"/>
        <sz val="10"/>
        <rFont val="Arial"/>
        <family val="2"/>
      </rPr>
      <t>1</t>
    </r>
    <r>
      <rPr>
        <sz val="10"/>
        <rFont val="Arial"/>
        <family val="2"/>
      </rPr>
      <t xml:space="preserve"> = [ln(S</t>
    </r>
    <r>
      <rPr>
        <vertAlign val="subscript"/>
        <sz val="10"/>
        <rFont val="Arial"/>
        <family val="2"/>
      </rPr>
      <t>0</t>
    </r>
    <r>
      <rPr>
        <sz val="10"/>
        <rFont val="Arial"/>
        <family val="2"/>
      </rPr>
      <t>/X) + (r + σ</t>
    </r>
    <r>
      <rPr>
        <vertAlign val="superscript"/>
        <sz val="10"/>
        <rFont val="Arial"/>
        <family val="2"/>
      </rPr>
      <t>2</t>
    </r>
    <r>
      <rPr>
        <sz val="10"/>
        <rFont val="Arial"/>
        <family val="2"/>
      </rPr>
      <t>/2)T]/ σ √T</t>
    </r>
  </si>
  <si>
    <r>
      <t>d</t>
    </r>
    <r>
      <rPr>
        <vertAlign val="subscript"/>
        <sz val="10"/>
        <rFont val="Arial"/>
        <family val="2"/>
      </rPr>
      <t>2</t>
    </r>
    <r>
      <rPr>
        <sz val="10"/>
        <rFont val="Arial"/>
        <family val="2"/>
      </rPr>
      <t xml:space="preserve"> = d</t>
    </r>
    <r>
      <rPr>
        <vertAlign val="subscript"/>
        <sz val="10"/>
        <rFont val="Arial"/>
        <family val="2"/>
      </rPr>
      <t>1</t>
    </r>
    <r>
      <rPr>
        <sz val="10"/>
        <rFont val="Arial"/>
        <family val="2"/>
      </rPr>
      <t xml:space="preserve"> - σ √T</t>
    </r>
  </si>
  <si>
    <r>
      <t>C</t>
    </r>
    <r>
      <rPr>
        <vertAlign val="subscript"/>
        <sz val="10"/>
        <rFont val="Arial"/>
        <family val="2"/>
      </rPr>
      <t>0</t>
    </r>
    <r>
      <rPr>
        <sz val="10"/>
        <rFont val="Arial"/>
        <family val="2"/>
      </rPr>
      <t xml:space="preserve"> = current option value</t>
    </r>
  </si>
  <si>
    <r>
      <t>S</t>
    </r>
    <r>
      <rPr>
        <vertAlign val="subscript"/>
        <sz val="10"/>
        <rFont val="Arial"/>
        <family val="2"/>
      </rPr>
      <t>0</t>
    </r>
    <r>
      <rPr>
        <sz val="10"/>
        <rFont val="Arial"/>
        <family val="2"/>
      </rPr>
      <t xml:space="preserve"> = current stock price</t>
    </r>
  </si>
  <si>
    <t>Example:</t>
  </si>
  <si>
    <t>d1 Formula &gt;</t>
  </si>
  <si>
    <t>d2 Formula &gt;</t>
  </si>
  <si>
    <t>Calculate Normal Distribution d1</t>
  </si>
  <si>
    <t>Calculate Normal Distribution d2</t>
  </si>
  <si>
    <t>Call Price</t>
  </si>
  <si>
    <t>3. Calculate Option Price - Put</t>
  </si>
  <si>
    <t>Put Price</t>
  </si>
  <si>
    <t>a. From the main menu of Excel, select Tools &gt; Macro &gt; Visual Basic Editor and enter the following code:</t>
  </si>
  <si>
    <t>Underlying Price</t>
  </si>
  <si>
    <t>Strike Price</t>
  </si>
  <si>
    <t>Expiration Time</t>
  </si>
  <si>
    <t>Volatility</t>
  </si>
  <si>
    <t>Don't forget to save this before you exit Visual Basic Editor and return to your normal speradsheet</t>
  </si>
  <si>
    <t>b. The Financial Function BlackScholes has now been created. Calculate option price using five inputs:</t>
  </si>
  <si>
    <t>Low</t>
  </si>
  <si>
    <t>High</t>
  </si>
  <si>
    <t xml:space="preserve">Different investment alternatives are analyzed based on a Cost Benefit Analysis (CBA). Part of the CBA involves </t>
  </si>
  <si>
    <t xml:space="preserve">estimating the cost and benefits of each alternative and applying economic indicators to each alternative. </t>
  </si>
  <si>
    <t>An example is listed below:</t>
  </si>
  <si>
    <t>1. Investment Description and Purpose</t>
  </si>
  <si>
    <t xml:space="preserve">Evaluate the current stacking and storage equipment facilities and their current costs. Compare this total </t>
  </si>
  <si>
    <t>investment to possible replacements to new facilities that might lower annual operating costs for the business.</t>
  </si>
  <si>
    <t>2. Assumptions and Methodologies</t>
  </si>
  <si>
    <t>Assume that there are alternatives that provide 100% complete replacement to the current facilities</t>
  </si>
  <si>
    <t>Assume that the conversion costs will be minimal since all products are basic commodities (no special facilities needed)</t>
  </si>
  <si>
    <t>Methodology includes interviewing engineers to determine the specifications needed, solicit vendors for information and</t>
  </si>
  <si>
    <t>3. Current Baseline</t>
  </si>
  <si>
    <t>The current facilities involve the following annual operating costs over the next 5 years:</t>
  </si>
  <si>
    <t>Year 1</t>
  </si>
  <si>
    <t>Year 2</t>
  </si>
  <si>
    <t>Year 3</t>
  </si>
  <si>
    <t>Year 4</t>
  </si>
  <si>
    <t>Year 5</t>
  </si>
  <si>
    <t>Operations &amp; Maintenance Cost</t>
  </si>
  <si>
    <t>Energy Usage Cost</t>
  </si>
  <si>
    <t>Total Cost</t>
  </si>
  <si>
    <t>4. Alternatives</t>
  </si>
  <si>
    <t>cost out each alternative based on a five year life cycle.</t>
  </si>
  <si>
    <t>Two possible alternatives have been found to be a total replacement for the current facilities:</t>
  </si>
  <si>
    <t>Alternative 1 - New modern energy efficient facility with low operating costs</t>
  </si>
  <si>
    <t>Alternative 2 - Low cost facility with very modest operating costs</t>
  </si>
  <si>
    <t>5. Estimate the Costs</t>
  </si>
  <si>
    <t>Initial</t>
  </si>
  <si>
    <t>Alternative 1 - Efficient</t>
  </si>
  <si>
    <t xml:space="preserve">Alternative 2 - Low Cost </t>
  </si>
  <si>
    <t>Assume cost of funds for this investment are 7%</t>
  </si>
  <si>
    <t>Total Cost Savings</t>
  </si>
  <si>
    <t>Baseline costs are considered reliable based on the past historical cost incurred. Alternative cost are considered somewhat risky</t>
  </si>
  <si>
    <t xml:space="preserve">since both alternatives represent new type investments. The degree of uncertainty is quantified by applying a range of possible </t>
  </si>
  <si>
    <t>Risk</t>
  </si>
  <si>
    <t>Rating</t>
  </si>
  <si>
    <t>Low End</t>
  </si>
  <si>
    <t xml:space="preserve">is % below </t>
  </si>
  <si>
    <t xml:space="preserve">High End </t>
  </si>
  <si>
    <t>is % above</t>
  </si>
  <si>
    <t>no adjustment</t>
  </si>
  <si>
    <t>values to the costs for each alternative. The range of uncertainty is dependent upon the risk rating assigned to each cost element:</t>
  </si>
  <si>
    <t>&lt; - - - - - - - - - - - -  Year 1 - - - - - - - - - - - - - - -&gt;</t>
  </si>
  <si>
    <t>&lt; - - - - - - - - - - - -  Year 2 - - - - - - - - - - - - - - -&gt;</t>
  </si>
  <si>
    <t>&lt; - - - - - - - - - - - -  Year 3 - - - - - - - - - - - - - - -&gt;</t>
  </si>
  <si>
    <t>&lt; - - - - - - - - - - - -  Year 4 - - - - - - - - - - - - - - -&gt;</t>
  </si>
  <si>
    <t>&lt; - - - - - - - - - - - -  Year 5 - - - - - - - - - - - - - - -&gt;</t>
  </si>
  <si>
    <t>Cost Uncertainty Ranges:</t>
  </si>
  <si>
    <t>Assume out year costs are adjusted for inflation by 4%</t>
  </si>
  <si>
    <t>Annual Inflation Adjustment &gt;</t>
  </si>
  <si>
    <t>Business Finance - Part 2. You can learn more about this course as well as free resources at:</t>
  </si>
  <si>
    <t>www.exinfm.com</t>
  </si>
  <si>
    <t>This workbook is used in conjunction with a course that is subject to copyright protection. You may print, download and use this workbook for your own personal use in conjunction with this course. You may not reproduce or redistribute this workbook without first obtaining the express permission of the author: 
Matt H. Evans, CPA, CMA, CFM
Email: matt@exinfm.com
Phone: 1-877-807-8756</t>
  </si>
  <si>
    <t xml:space="preserve">Note: In order to run the Monte Carlo Distribution for obtaining our risk </t>
  </si>
  <si>
    <t>adjusted values, all cells below must contain a value and no formulas.</t>
  </si>
  <si>
    <t>The Monte Carlo Simulation is run using an Excel Add On Tool</t>
  </si>
  <si>
    <t>Total Cost - Single Point Estimate</t>
  </si>
  <si>
    <t>Crystal Ball Report - Forecasts</t>
  </si>
  <si>
    <t>Simulation started on 1/28/2010 at 10:08:10</t>
  </si>
  <si>
    <t>Simulation stopped on 1/28/2010 at 10:08:21</t>
  </si>
  <si>
    <t>Run preferences:</t>
  </si>
  <si>
    <t>Number of trials run</t>
  </si>
  <si>
    <t>Monte Carlo</t>
  </si>
  <si>
    <t>Random seed</t>
  </si>
  <si>
    <t>Precision control on</t>
  </si>
  <si>
    <t xml:space="preserve">   Confidence level</t>
  </si>
  <si>
    <t>Run statistics:</t>
  </si>
  <si>
    <t>Total running time (sec)</t>
  </si>
  <si>
    <t>Trials/second (average)</t>
  </si>
  <si>
    <t>Random numbers per sec</t>
  </si>
  <si>
    <t>Crystal Ball data:</t>
  </si>
  <si>
    <t>Assumptions</t>
  </si>
  <si>
    <t xml:space="preserve">   Correlations</t>
  </si>
  <si>
    <t xml:space="preserve">   Correlated groups</t>
  </si>
  <si>
    <t>Decision variables</t>
  </si>
  <si>
    <t>Forecasts</t>
  </si>
  <si>
    <t>Worksheet: [M1_C4_Supplemental_Workbook.xls]4 - Cost Benefit Analysis</t>
  </si>
  <si>
    <t>Forecast: Total Cost - Year 1 (Alt 1)</t>
  </si>
  <si>
    <t>Cell: F84</t>
  </si>
  <si>
    <t>Summary:</t>
  </si>
  <si>
    <t>Entire range is from 2,211,554 to 2,653,805</t>
  </si>
  <si>
    <t>Base case is 2,300,000</t>
  </si>
  <si>
    <t>After 5,000 trials, the std. error of the mean is 1,190</t>
  </si>
  <si>
    <t>Statistics:</t>
  </si>
  <si>
    <t>Forecast values</t>
  </si>
  <si>
    <t>Trials</t>
  </si>
  <si>
    <t>Mean</t>
  </si>
  <si>
    <t>Median</t>
  </si>
  <si>
    <t>Mode</t>
  </si>
  <si>
    <t>Variance</t>
  </si>
  <si>
    <t>Skewness</t>
  </si>
  <si>
    <t>Kurtosis</t>
  </si>
  <si>
    <t>Coeff. of Variability</t>
  </si>
  <si>
    <t>Minimum</t>
  </si>
  <si>
    <t>Maximum</t>
  </si>
  <si>
    <t>Range Width</t>
  </si>
  <si>
    <t>Mean Std. Error</t>
  </si>
  <si>
    <t>---</t>
  </si>
  <si>
    <t>Forecast: Total Cost - Year 1 (Alt 1) (cont'd)</t>
  </si>
  <si>
    <t>Percentiles:</t>
  </si>
  <si>
    <t>0%</t>
  </si>
  <si>
    <t>10%</t>
  </si>
  <si>
    <t>20%</t>
  </si>
  <si>
    <t>30%</t>
  </si>
  <si>
    <t>40%</t>
  </si>
  <si>
    <t>50%</t>
  </si>
  <si>
    <t>60%</t>
  </si>
  <si>
    <t>70%</t>
  </si>
  <si>
    <t>80%</t>
  </si>
  <si>
    <t>90%</t>
  </si>
  <si>
    <t>100%</t>
  </si>
  <si>
    <t>Forecast: Total Cost - Year 1 (Alt 2)</t>
  </si>
  <si>
    <t>Cell: F89</t>
  </si>
  <si>
    <t>Entire range is from 2,763,903 to 4,017,438</t>
  </si>
  <si>
    <t>Base case is 3,000,000</t>
  </si>
  <si>
    <t>After 5,000 trials, the std. error of the mean is 3,403</t>
  </si>
  <si>
    <t>Forecast: Total Cost - Year 1 (Alt 2) (cont'd)</t>
  </si>
  <si>
    <t>Forecast: Total Cost - Year 2 (Alt 1)</t>
  </si>
  <si>
    <t>Cell: I84</t>
  </si>
  <si>
    <t>Entire range is from 2,287,720 to 2,774,569</t>
  </si>
  <si>
    <t>Base case is 2,392,000</t>
  </si>
  <si>
    <t>After 5,000 trials, the std. error of the mean is 1,211</t>
  </si>
  <si>
    <t>Forecast: Total Cost - Year 2 (Alt 1) (cont'd)</t>
  </si>
  <si>
    <t>Forecast: Total Cost - Year 2 (Alt 2)</t>
  </si>
  <si>
    <t>Cell: I89</t>
  </si>
  <si>
    <t>Entire range is from 2,885,080 to 4,151,454</t>
  </si>
  <si>
    <t>Base case is 3,120,000</t>
  </si>
  <si>
    <t>After 5,000 trials, the std. error of the mean is 3,555</t>
  </si>
  <si>
    <t>Forecast: Total Cost - Year 2 (Alt 2) (cont'd)</t>
  </si>
  <si>
    <t>Forecast: Total Cost - Year 3 (Alt 1)</t>
  </si>
  <si>
    <t>Cell: L84</t>
  </si>
  <si>
    <t>Entire range is from 2,377,226 to 2,879,269</t>
  </si>
  <si>
    <t>Base case is 2,487,680</t>
  </si>
  <si>
    <t>After 5,000 trials, the std. error of the mean is 1,270</t>
  </si>
  <si>
    <t>Forecast: Total Cost - Year 3 (Alt 1) (cont'd)</t>
  </si>
  <si>
    <t>Forecast: Total Cost - Year 3 (Alt 2)</t>
  </si>
  <si>
    <t>Cell: L89</t>
  </si>
  <si>
    <t>Entire range is from 3,008,215 to 4,306,861</t>
  </si>
  <si>
    <t>Base case is 3,244,800</t>
  </si>
  <si>
    <t>After 5,000 trials, the std. error of the mean is 3,679</t>
  </si>
  <si>
    <t>Forecast: Total Cost - Year 3 (Alt 2) (cont'd)</t>
  </si>
  <si>
    <t>Forecast: Total Cost - Year 4 (Alt 1)</t>
  </si>
  <si>
    <t>Cell: O84</t>
  </si>
  <si>
    <t>Entire range is from 2,481,326 to 3,014,518</t>
  </si>
  <si>
    <t>Base case is 2,587,187</t>
  </si>
  <si>
    <t>After 5,000 trials, the std. error of the mean is 1,338</t>
  </si>
  <si>
    <t>Forecast: Total Cost - Year 4 (Alt 1) (cont'd)</t>
  </si>
  <si>
    <t>Forecast: Total Cost - Year 4 (Alt 2)</t>
  </si>
  <si>
    <t>Cell: O89</t>
  </si>
  <si>
    <t>Entire range is from 3,121,008 to 4,474,757</t>
  </si>
  <si>
    <t>Base case is 3,374,592</t>
  </si>
  <si>
    <t>After 5,000 trials, the std. error of the mean is 3,874</t>
  </si>
  <si>
    <t>Forecast: Total Cost - Year 4 (Alt 2) (cont'd)</t>
  </si>
  <si>
    <t>Forecast: Total Cost - Year 5 (Alt 1)</t>
  </si>
  <si>
    <t>Cell: R84</t>
  </si>
  <si>
    <t>Entire range is from 2,568,883 to 3,107,997</t>
  </si>
  <si>
    <t>Base case is 2,690,675</t>
  </si>
  <si>
    <t>After 5,000 trials, the std. error of the mean is 1,376</t>
  </si>
  <si>
    <t>Forecast: Total Cost - Year 5 (Alt 1) (cont'd)</t>
  </si>
  <si>
    <t>Forecast: Total Cost - Year 5 (Alt 2)</t>
  </si>
  <si>
    <t>Cell: R89</t>
  </si>
  <si>
    <t>Entire range is from 3,266,665 to 4,706,632</t>
  </si>
  <si>
    <t>Base case is 3,509,576</t>
  </si>
  <si>
    <t>After 5,000 trials, the std. error of the mean is 4,038</t>
  </si>
  <si>
    <t>Forecast: Total Cost - Year 5 (Alt 2) (cont'd)</t>
  </si>
  <si>
    <t>End of Forecasts</t>
  </si>
  <si>
    <t>called Crystal Ball. The input variables are noted in green and the value we</t>
  </si>
  <si>
    <t>want to risk adjust is highlighted in blue.</t>
  </si>
  <si>
    <t>Risk Adjusted Cost Estimate @70%</t>
  </si>
  <si>
    <t>Alternative 2 - Low Cost</t>
  </si>
  <si>
    <t>6. Risk Analysis / Risk Adjustments</t>
  </si>
  <si>
    <t>7. Risk Adjusted Cost Estimate for Alternatives 1 and 2 based on Monte Carlo Simulation (see 4.1 Simulation tab)</t>
  </si>
  <si>
    <t>8. Quantify the Benefits for each Alternative</t>
  </si>
  <si>
    <t>9. Economic Analysis using Discounted Cash Flow Model:</t>
  </si>
  <si>
    <t>Discounted Cost</t>
  </si>
  <si>
    <t>Discounted Benefit</t>
  </si>
  <si>
    <t>Net Present Value</t>
  </si>
  <si>
    <t>Discounted Cash Outflow</t>
  </si>
  <si>
    <t>Discounted Cash Inflow</t>
  </si>
  <si>
    <t>Cumulative NPV</t>
  </si>
  <si>
    <t>Discounted Pay Back</t>
  </si>
  <si>
    <t>Discounted Rate of Return</t>
  </si>
  <si>
    <t>not reached</t>
  </si>
  <si>
    <t>10. Conclusion</t>
  </si>
  <si>
    <t>Alternative 1 does provide some additional value as opposed to the status quo "baseline" option. Alternative 2 never reaches payback and should</t>
  </si>
  <si>
    <t>not be considered. This conclusion is based on the economic indicators of Net Present Value, Discounted Pay Back, and Discounted Rate</t>
  </si>
  <si>
    <t>or Return as calculated in Step 9. If the extended life of Alternative 1 goes beyond Year 5, then this alternative will be more attractive.</t>
  </si>
  <si>
    <t>Optimal Capital Structure</t>
  </si>
  <si>
    <t>Use of Leverage</t>
  </si>
  <si>
    <t>A. Operating Leverage - Use of Fixed Operating Costs to Increase EBIT</t>
  </si>
  <si>
    <t>Sales Revenue</t>
  </si>
  <si>
    <t>Fixed Operating Cost</t>
  </si>
  <si>
    <t>Earnings Before Interest Taxes</t>
  </si>
  <si>
    <t>Percent</t>
  </si>
  <si>
    <t>Change</t>
  </si>
  <si>
    <t>Sales Volume</t>
  </si>
  <si>
    <t>Sales Price</t>
  </si>
  <si>
    <t xml:space="preserve">Variable Operating Cost </t>
  </si>
  <si>
    <t>Precise DOL Formula = Q ( SP - VC ) / Q ( SP - VC ) - FC</t>
  </si>
  <si>
    <t>Rough Approximation of Degree of Operating Leverage (DOL)</t>
  </si>
  <si>
    <t xml:space="preserve">             ( in millions)</t>
  </si>
  <si>
    <t>Knowing what the DOL is can help you understand the risk</t>
  </si>
  <si>
    <t>of a company; especially during times of declining sales and</t>
  </si>
  <si>
    <t>where the company has most of its costs tied up as fixed.</t>
  </si>
  <si>
    <t>Understanding the use of leverage is important to understanding risk and what levers to pull on to influence returns.</t>
  </si>
  <si>
    <t>Two primary levers are operating leverage and financial leverage. See examples below:</t>
  </si>
  <si>
    <t>B. Breakeven Analysis - What level of sales are needed to cover all of our operating costs</t>
  </si>
  <si>
    <t>Breakeven Units = Fixed Cost / (Sales Price - Variable Cost per Unit)</t>
  </si>
  <si>
    <t>Breakeven $ = Fixed Cost / Contribution Margin %</t>
  </si>
  <si>
    <t>Contribution Margin %</t>
  </si>
  <si>
    <t>Example: Your financial plan for next year 2007 calls for an EBIT of $ 16,000.</t>
  </si>
  <si>
    <t>Example: Fixed Cost of $ 10,000 includes non cash flow depreciation of $ 4,000</t>
  </si>
  <si>
    <t>How much volume do you need to sell to reach this goal? Simply add in the</t>
  </si>
  <si>
    <t>EBIT amount of $ 16,000 to the fixed cost amount in your formula:</t>
  </si>
  <si>
    <t>Breakeven Units = (Fixed Cost + EBIT Target)  / (Sales Price - Variable Cost per Unit)</t>
  </si>
  <si>
    <t>Target Breakeven (units)</t>
  </si>
  <si>
    <t>Target EBIT Amount</t>
  </si>
  <si>
    <t>Fixed Cost</t>
  </si>
  <si>
    <t>Non Cash Fixed Cost</t>
  </si>
  <si>
    <t>Cash Flow Fixed Cost</t>
  </si>
  <si>
    <t>Breakeven Units (Cash Basis)</t>
  </si>
  <si>
    <t>Breakeven Target per EBIT Target Amount:</t>
  </si>
  <si>
    <t>Breakeven Units Cash Flow Basis = Remove the Non Cash Flow Items from Fixed Cost</t>
  </si>
  <si>
    <t>4. Calculating Option Price using Special Macro Function:</t>
  </si>
  <si>
    <t>Alternative DOL Formula = Contribution Margin / EBIT</t>
  </si>
  <si>
    <t>C. Financial Leverage - Balancing debt levels to increase EBIT, but without taking on too much risk</t>
  </si>
  <si>
    <t>Sales  (30,000 units @ $ 25.00 per unit)</t>
  </si>
  <si>
    <t>Variable Cost @ $ 7.00 per unit</t>
  </si>
  <si>
    <t>Fixed Costs</t>
  </si>
  <si>
    <t>Earnings Before Interest Taxes (EBIT)</t>
  </si>
  <si>
    <t>Interest Expense</t>
  </si>
  <si>
    <t>Earnings Before Taxes</t>
  </si>
  <si>
    <t>Tax Expense</t>
  </si>
  <si>
    <t>Net Income</t>
  </si>
  <si>
    <t>Degree of Financial Leverage = EBIT / (EBIT - Interest)</t>
  </si>
  <si>
    <t>Forecast</t>
  </si>
  <si>
    <t>Percentage Change in EBIT</t>
  </si>
  <si>
    <t>Percentage Change in Net Income</t>
  </si>
  <si>
    <t>Current Year</t>
  </si>
  <si>
    <t>Past Year</t>
  </si>
  <si>
    <t>Actual</t>
  </si>
  <si>
    <t>% Change Net Income / % Change EBIT</t>
  </si>
  <si>
    <t>Debt vs. Equity:</t>
  </si>
  <si>
    <t>&lt; - - - Past Year Actual - - - - &gt;</t>
  </si>
  <si>
    <t>Debt - 10% rate</t>
  </si>
  <si>
    <t>Shares of Stock</t>
  </si>
  <si>
    <t>Earnings per Share</t>
  </si>
  <si>
    <t xml:space="preserve">Equity - </t>
  </si>
  <si>
    <t>The advantage of shifting the capital</t>
  </si>
  <si>
    <t>structure towards more debt is to</t>
  </si>
  <si>
    <t>improve the earnings per share; but it</t>
  </si>
  <si>
    <t>also means taking on more financial risk</t>
  </si>
  <si>
    <t>More Debt</t>
  </si>
  <si>
    <t>More Equity</t>
  </si>
  <si>
    <t>DOL Formula = Q ( SP - VC ) / Q ( SP - VC ) - FC</t>
  </si>
  <si>
    <t>DOL Calculation = 30,000 ( $ 25.00 - $ 7.00 ) / 30.000 ( $ 25.00 - $ 7.00 ) - $ 270,000</t>
  </si>
  <si>
    <t>DOL = $ 540,000 / $ 270,000</t>
  </si>
  <si>
    <t>DOL = 2.0</t>
  </si>
  <si>
    <t>DFL Formula = EBIT / (EBIT - Interest)</t>
  </si>
  <si>
    <t>DFL Calculation = $ 270,000 / ( $270,000 - $ 170,000 )</t>
  </si>
  <si>
    <t>DFL = 2.70</t>
  </si>
  <si>
    <t>DCL (Degree of Combined Leverage) = DOL x DFL</t>
  </si>
  <si>
    <t>DCL = 2.0 x 2.7</t>
  </si>
  <si>
    <t>DCL = 5.4</t>
  </si>
  <si>
    <t>&lt; For every 1% change to sales, EBIT will change by 2%</t>
  </si>
  <si>
    <t>&lt; For every 1% change in EBIT, Earnings per Share will change by 2.7%</t>
  </si>
  <si>
    <t>In an effort to find the right mix of debt and equity, you will need to evaluate different combinations of debt and equity and</t>
  </si>
  <si>
    <t>look at how each of these combinations impacts your cost of capital and market value of the company (stock price)</t>
  </si>
  <si>
    <t>Debt/Assets</t>
  </si>
  <si>
    <t>Equity/Assets</t>
  </si>
  <si>
    <t xml:space="preserve">Debt/Equity </t>
  </si>
  <si>
    <t>Bond</t>
  </si>
  <si>
    <t>Ratio (D/E)</t>
  </si>
  <si>
    <t>A</t>
  </si>
  <si>
    <t>BBB</t>
  </si>
  <si>
    <t>BB</t>
  </si>
  <si>
    <t>C</t>
  </si>
  <si>
    <t>D</t>
  </si>
  <si>
    <t>Cost of</t>
  </si>
  <si>
    <t>WACC</t>
  </si>
  <si>
    <r>
      <t>Ratio (w</t>
    </r>
    <r>
      <rPr>
        <b/>
        <vertAlign val="subscript"/>
        <sz val="10"/>
        <rFont val="Arial"/>
        <family val="2"/>
      </rPr>
      <t>d</t>
    </r>
    <r>
      <rPr>
        <b/>
        <sz val="10"/>
        <rFont val="Arial"/>
        <family val="2"/>
      </rPr>
      <t>)</t>
    </r>
  </si>
  <si>
    <r>
      <t>Ratio (w</t>
    </r>
    <r>
      <rPr>
        <b/>
        <vertAlign val="subscript"/>
        <sz val="10"/>
        <rFont val="Arial"/>
        <family val="2"/>
      </rPr>
      <t>c</t>
    </r>
    <r>
      <rPr>
        <b/>
        <sz val="10"/>
        <rFont val="Arial"/>
        <family val="2"/>
      </rPr>
      <t>)</t>
    </r>
  </si>
  <si>
    <r>
      <t>Debt (r</t>
    </r>
    <r>
      <rPr>
        <b/>
        <vertAlign val="subscript"/>
        <sz val="10"/>
        <rFont val="Arial"/>
        <family val="2"/>
      </rPr>
      <t>d</t>
    </r>
    <r>
      <rPr>
        <b/>
        <sz val="10"/>
        <rFont val="Arial"/>
        <family val="2"/>
      </rPr>
      <t>)</t>
    </r>
  </si>
  <si>
    <t xml:space="preserve">Cost of </t>
  </si>
  <si>
    <t>Step 1 - What are your key debt ratios and rates at different debt levels?</t>
  </si>
  <si>
    <t>Step 2 - What is your cost of equity using the Capital Asset Pricing Model?</t>
  </si>
  <si>
    <t>Beta (b)</t>
  </si>
  <si>
    <r>
      <t>Risk Free Rate (r</t>
    </r>
    <r>
      <rPr>
        <vertAlign val="subscript"/>
        <sz val="10"/>
        <rFont val="Arial"/>
        <family val="2"/>
      </rPr>
      <t>f</t>
    </r>
    <r>
      <rPr>
        <sz val="10"/>
        <rFont val="Arial"/>
        <family val="0"/>
      </rPr>
      <t xml:space="preserve">) </t>
    </r>
  </si>
  <si>
    <r>
      <t>Market Rate (r</t>
    </r>
    <r>
      <rPr>
        <vertAlign val="subscript"/>
        <sz val="10"/>
        <rFont val="Arial"/>
        <family val="2"/>
      </rPr>
      <t>m</t>
    </r>
    <r>
      <rPr>
        <sz val="10"/>
        <rFont val="Arial"/>
        <family val="0"/>
      </rPr>
      <t>)</t>
    </r>
  </si>
  <si>
    <r>
      <t>Cost of Equity or Stock (r</t>
    </r>
    <r>
      <rPr>
        <vertAlign val="subscript"/>
        <sz val="10"/>
        <rFont val="Arial"/>
        <family val="2"/>
      </rPr>
      <t>s</t>
    </r>
    <r>
      <rPr>
        <sz val="10"/>
        <rFont val="Arial"/>
        <family val="0"/>
      </rPr>
      <t>)</t>
    </r>
  </si>
  <si>
    <r>
      <t>r</t>
    </r>
    <r>
      <rPr>
        <vertAlign val="subscript"/>
        <sz val="10"/>
        <rFont val="Arial"/>
        <family val="2"/>
      </rPr>
      <t>s</t>
    </r>
    <r>
      <rPr>
        <sz val="10"/>
        <rFont val="Arial"/>
        <family val="0"/>
      </rPr>
      <t xml:space="preserve"> = r</t>
    </r>
    <r>
      <rPr>
        <vertAlign val="subscript"/>
        <sz val="10"/>
        <rFont val="Arial"/>
        <family val="2"/>
      </rPr>
      <t>f</t>
    </r>
    <r>
      <rPr>
        <sz val="10"/>
        <rFont val="Arial"/>
        <family val="0"/>
      </rPr>
      <t xml:space="preserve"> + ( b ( r</t>
    </r>
    <r>
      <rPr>
        <vertAlign val="subscript"/>
        <sz val="10"/>
        <rFont val="Arial"/>
        <family val="2"/>
      </rPr>
      <t>m</t>
    </r>
    <r>
      <rPr>
        <sz val="10"/>
        <rFont val="Arial"/>
        <family val="0"/>
      </rPr>
      <t xml:space="preserve"> - r</t>
    </r>
    <r>
      <rPr>
        <vertAlign val="subscript"/>
        <sz val="10"/>
        <rFont val="Arial"/>
        <family val="2"/>
      </rPr>
      <t>f</t>
    </r>
    <r>
      <rPr>
        <sz val="10"/>
        <rFont val="Arial"/>
        <family val="0"/>
      </rPr>
      <t xml:space="preserve"> ) )</t>
    </r>
  </si>
  <si>
    <t>Tax Rate</t>
  </si>
  <si>
    <r>
      <t>Market Premium (r</t>
    </r>
    <r>
      <rPr>
        <vertAlign val="subscript"/>
        <sz val="10"/>
        <rFont val="Arial"/>
        <family val="2"/>
      </rPr>
      <t>m</t>
    </r>
    <r>
      <rPr>
        <sz val="10"/>
        <rFont val="Arial"/>
        <family val="0"/>
      </rPr>
      <t xml:space="preserve"> - r</t>
    </r>
    <r>
      <rPr>
        <vertAlign val="subscript"/>
        <sz val="10"/>
        <rFont val="Arial"/>
        <family val="2"/>
      </rPr>
      <t>f</t>
    </r>
    <r>
      <rPr>
        <sz val="10"/>
        <rFont val="Arial"/>
        <family val="0"/>
      </rPr>
      <t>)</t>
    </r>
  </si>
  <si>
    <t>Step 3 - What is the cost of equity at different debt levels using the Hamada Equation?</t>
  </si>
  <si>
    <r>
      <t>b</t>
    </r>
    <r>
      <rPr>
        <b/>
        <vertAlign val="subscript"/>
        <sz val="10"/>
        <rFont val="Arial"/>
        <family val="2"/>
      </rPr>
      <t>L</t>
    </r>
    <r>
      <rPr>
        <b/>
        <sz val="10"/>
        <rFont val="Arial"/>
        <family val="2"/>
      </rPr>
      <t xml:space="preserve"> </t>
    </r>
    <r>
      <rPr>
        <sz val="10"/>
        <rFont val="Arial"/>
        <family val="2"/>
      </rPr>
      <t>= b</t>
    </r>
    <r>
      <rPr>
        <vertAlign val="subscript"/>
        <sz val="10"/>
        <rFont val="Arial"/>
        <family val="2"/>
      </rPr>
      <t>U</t>
    </r>
    <r>
      <rPr>
        <sz val="10"/>
        <rFont val="Arial"/>
        <family val="2"/>
      </rPr>
      <t xml:space="preserve"> [1+ (1-T)(D/E)]</t>
    </r>
  </si>
  <si>
    <r>
      <t>b</t>
    </r>
    <r>
      <rPr>
        <vertAlign val="subscript"/>
        <sz val="10"/>
        <rFont val="Arial"/>
        <family val="2"/>
      </rPr>
      <t>L</t>
    </r>
    <r>
      <rPr>
        <sz val="10"/>
        <rFont val="Arial"/>
        <family val="0"/>
      </rPr>
      <t>: beta leveraged (use of debt)</t>
    </r>
  </si>
  <si>
    <r>
      <t>b</t>
    </r>
    <r>
      <rPr>
        <vertAlign val="subscript"/>
        <sz val="10"/>
        <rFont val="Arial"/>
        <family val="2"/>
      </rPr>
      <t>U</t>
    </r>
    <r>
      <rPr>
        <sz val="10"/>
        <rFont val="Arial"/>
        <family val="0"/>
      </rPr>
      <t>: beta unleveraged (no debt)</t>
    </r>
  </si>
  <si>
    <t>T: Tax Rate</t>
  </si>
  <si>
    <t>D/E: Debt to Equity Ratio</t>
  </si>
  <si>
    <t>&lt; - Use this formula to determine a different Beta at different levels of leverage</t>
  </si>
  <si>
    <t>We can now construct a table that tells us what our minimal weighted average cost of capital is which is</t>
  </si>
  <si>
    <t xml:space="preserve">a major question that must be answered if you expect to determine your optimal cost of capital. For </t>
  </si>
  <si>
    <t xml:space="preserve">purposes of keeping this simple, we have used the Debt to Assets Ratio (wd) to weight our debt rate and </t>
  </si>
  <si>
    <t>the Equity to Asset Ratio (wc) to weight the equity rate. The debt rate is after taxes (A-T) and the equity</t>
  </si>
  <si>
    <t xml:space="preserve">rate is calculated using the CAPM which we described in Step 2 above. </t>
  </si>
  <si>
    <t>A-T Cost of</t>
  </si>
  <si>
    <t xml:space="preserve">Leveraged </t>
  </si>
  <si>
    <r>
      <t>Beta (b</t>
    </r>
    <r>
      <rPr>
        <b/>
        <vertAlign val="subscript"/>
        <sz val="10"/>
        <rFont val="Arial"/>
        <family val="2"/>
      </rPr>
      <t>L</t>
    </r>
    <r>
      <rPr>
        <b/>
        <sz val="10"/>
        <rFont val="Arial"/>
        <family val="2"/>
      </rPr>
      <t>)</t>
    </r>
  </si>
  <si>
    <r>
      <t>Equity (r</t>
    </r>
    <r>
      <rPr>
        <b/>
        <vertAlign val="subscript"/>
        <sz val="10"/>
        <rFont val="Arial"/>
        <family val="2"/>
      </rPr>
      <t>S</t>
    </r>
    <r>
      <rPr>
        <b/>
        <sz val="10"/>
        <rFont val="Arial"/>
        <family val="2"/>
      </rPr>
      <t>)</t>
    </r>
  </si>
  <si>
    <t>Minimal WACC is &gt;</t>
  </si>
  <si>
    <t>Once you have identified your minimal WACC, what</t>
  </si>
  <si>
    <t>is the debt level and equity level per your weights? If</t>
  </si>
  <si>
    <t>you look at cell E49 (highlighted in yellow) you can</t>
  </si>
  <si>
    <t>see that we used a mix of 40% debt and 60% equity.</t>
  </si>
  <si>
    <t xml:space="preserve">The next question to ask is: Can our company accept </t>
  </si>
  <si>
    <t>this level of debt? Are we taking on too much financial risk?</t>
  </si>
  <si>
    <t>Step 4 - What impact does your desired debt level have on the market value of the company?</t>
  </si>
  <si>
    <t>We can estimate the value by simply discounting the free cash flows by the WACC at each</t>
  </si>
  <si>
    <t>level of debt. For purposes of keeping it simple, we will assume no growth going forward which</t>
  </si>
  <si>
    <t>the different debt levels. We will also assume that our EBIT can reasonably reflect Free</t>
  </si>
  <si>
    <t xml:space="preserve">Cash Flows which is the basis for discounting and arriving at market values. The discount </t>
  </si>
  <si>
    <t>formula for determining the market values is:</t>
  </si>
  <si>
    <t>Debt</t>
  </si>
  <si>
    <t>Level</t>
  </si>
  <si>
    <t>EBIT</t>
  </si>
  <si>
    <t>FCF</t>
  </si>
  <si>
    <t>Market</t>
  </si>
  <si>
    <t>Market Value = (FCF * (1 - g) ) / (WACC - g)</t>
  </si>
  <si>
    <t>FCF: Free Cash Flow</t>
  </si>
  <si>
    <t>g: Growth rate</t>
  </si>
  <si>
    <t>WACC: Weighted Average Cost of Capital</t>
  </si>
  <si>
    <t>means we have no capital investment requirements and our EBIT will change by only</t>
  </si>
  <si>
    <t>Total Assets Required &gt;</t>
  </si>
  <si>
    <t>Change in</t>
  </si>
  <si>
    <t>Equity</t>
  </si>
  <si>
    <t>Number of</t>
  </si>
  <si>
    <t>Shares</t>
  </si>
  <si>
    <t>Earnings</t>
  </si>
  <si>
    <t>per Share</t>
  </si>
  <si>
    <t>Value per</t>
  </si>
  <si>
    <t>Share</t>
  </si>
  <si>
    <t>Price per Share &gt;</t>
  </si>
  <si>
    <t>You can also look at the impact on Earnings per Share with different levels of equity financing.</t>
  </si>
  <si>
    <t>We will keep it simple by equating our FCF with Earnings under a no growth assumption.</t>
  </si>
  <si>
    <t xml:space="preserve">Using more financial leverage or </t>
  </si>
  <si>
    <t>debt improves the returns offered</t>
  </si>
  <si>
    <t>to equity shareholders, but you</t>
  </si>
  <si>
    <t>have to balance this against the</t>
  </si>
  <si>
    <t>You can also calculate the EBIT level where you are indifferent between the mix of debt</t>
  </si>
  <si>
    <t xml:space="preserve">http://www.exinfm.com/training/pdfiles/course06.pdf </t>
  </si>
  <si>
    <t>Main Menu</t>
  </si>
  <si>
    <t xml:space="preserve">increased risk with more debt and </t>
  </si>
  <si>
    <t>the fact that at some point you no</t>
  </si>
  <si>
    <t>longer experience a decline in your</t>
  </si>
  <si>
    <t>weighted average cost of capital.</t>
  </si>
  <si>
    <t>and equity. Compare two different alternatives to financing and solve for the EBIT where</t>
  </si>
  <si>
    <t>EPS is the same:</t>
  </si>
  <si>
    <t>You can learn more by downloading the free short course (Course 6: The Management of</t>
  </si>
  <si>
    <t>Capital) at:</t>
  </si>
  <si>
    <t>EBIT: Earnings Before Interest Taxes</t>
  </si>
  <si>
    <t>I: Interest Expense</t>
  </si>
  <si>
    <t>PD: Preferred Dividents</t>
  </si>
  <si>
    <t>TR: Tax Rate</t>
  </si>
  <si>
    <r>
      <t>S</t>
    </r>
    <r>
      <rPr>
        <vertAlign val="subscript"/>
        <sz val="10"/>
        <rFont val="Arial"/>
        <family val="2"/>
      </rPr>
      <t>1</t>
    </r>
    <r>
      <rPr>
        <sz val="10"/>
        <rFont val="Arial"/>
        <family val="0"/>
      </rPr>
      <t>: Shares of Stock for Plan 1</t>
    </r>
  </si>
  <si>
    <r>
      <t>S</t>
    </r>
    <r>
      <rPr>
        <vertAlign val="subscript"/>
        <sz val="10"/>
        <rFont val="Arial"/>
        <family val="2"/>
      </rPr>
      <t>2</t>
    </r>
    <r>
      <rPr>
        <sz val="10"/>
        <rFont val="Arial"/>
        <family val="0"/>
      </rPr>
      <t>: Shares of Stock for Plan 2</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</si>
</sst>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0.000"/>
    <numFmt numFmtId="167" formatCode="0.0000%"/>
    <numFmt numFmtId="168" formatCode="0.00000"/>
    <numFmt numFmtId="169" formatCode="0.000000"/>
    <numFmt numFmtId="170" formatCode="&quot;Yes&quot;;&quot;Yes&quot;;&quot;No&quot;"/>
    <numFmt numFmtId="171" formatCode="&quot;True&quot;;&quot;True&quot;;&quot;False&quot;"/>
    <numFmt numFmtId="172" formatCode="&quot;On&quot;;&quot;On&quot;;&quot;Off&quot;"/>
    <numFmt numFmtId="173" formatCode="[$€-2]\ #,##0.00_);[Red]\([$€-2]\ #,##0.00\)"/>
    <numFmt numFmtId="174" formatCode="m/d/yy\ h:mm"/>
    <numFmt numFmtId="175" formatCode="\ &quot;$&quot;#,##0\ ;\ &quot;$&quot;\(#,##0\)"/>
    <numFmt numFmtId="176" formatCode="_(&quot;$&quot;* #,##0.0000_);_(&quot;$&quot;* \(#,##0.0000\);_(&quot;$&quot;* &quot;-&quot;????_);_(@_)"/>
    <numFmt numFmtId="177" formatCode="0.0%"/>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0.0"/>
    <numFmt numFmtId="187" formatCode="0.00000%"/>
    <numFmt numFmtId="188" formatCode="0.000%"/>
    <numFmt numFmtId="189" formatCode="0.0000000%"/>
    <numFmt numFmtId="190" formatCode="0.000000%"/>
    <numFmt numFmtId="191" formatCode="_(* #,##0.000_);_(* \(#,##0.000\);_(* &quot;-&quot;??_);_(@_)"/>
    <numFmt numFmtId="192" formatCode="_(* #,##0.0000_);_(* \(#,##0.0000\);_(* &quot;-&quot;??_);_(@_)"/>
    <numFmt numFmtId="193" formatCode="_-* #,##0.0000_-;\-* #,##0.0000_-;_-* &quot;-&quot;????_-;_-@_-"/>
  </numFmts>
  <fonts count="28">
    <font>
      <sz val="10"/>
      <name val="Arial"/>
      <family val="0"/>
    </font>
    <font>
      <sz val="8"/>
      <name val="Arial"/>
      <family val="0"/>
    </font>
    <font>
      <b/>
      <sz val="14"/>
      <name val="Arial"/>
      <family val="2"/>
    </font>
    <font>
      <i/>
      <sz val="10"/>
      <name val="Arial"/>
      <family val="2"/>
    </font>
    <font>
      <i/>
      <sz val="12"/>
      <name val="Arial"/>
      <family val="2"/>
    </font>
    <font>
      <u val="single"/>
      <sz val="10"/>
      <name val="Arial"/>
      <family val="0"/>
    </font>
    <font>
      <b/>
      <sz val="10"/>
      <name val="Arial"/>
      <family val="2"/>
    </font>
    <font>
      <i/>
      <sz val="9"/>
      <name val="Arial"/>
      <family val="2"/>
    </font>
    <font>
      <b/>
      <u val="single"/>
      <sz val="10"/>
      <name val="Arial"/>
      <family val="2"/>
    </font>
    <font>
      <sz val="9"/>
      <name val="Arial"/>
      <family val="0"/>
    </font>
    <font>
      <u val="single"/>
      <sz val="9"/>
      <name val="Arial"/>
      <family val="0"/>
    </font>
    <font>
      <sz val="8"/>
      <name val="Tahoma"/>
      <family val="0"/>
    </font>
    <font>
      <u val="single"/>
      <sz val="10"/>
      <color indexed="12"/>
      <name val="Arial"/>
      <family val="0"/>
    </font>
    <font>
      <u val="single"/>
      <sz val="10"/>
      <color indexed="36"/>
      <name val="Arial"/>
      <family val="0"/>
    </font>
    <font>
      <sz val="11"/>
      <name val="Arial"/>
      <family val="0"/>
    </font>
    <font>
      <sz val="10"/>
      <name val="Times New Roman"/>
      <family val="1"/>
    </font>
    <font>
      <sz val="10"/>
      <name val="Arial Unicode MS"/>
      <family val="2"/>
    </font>
    <font>
      <vertAlign val="subscript"/>
      <sz val="10"/>
      <name val="Arial"/>
      <family val="2"/>
    </font>
    <font>
      <vertAlign val="superscript"/>
      <sz val="10"/>
      <name val="Arial"/>
      <family val="2"/>
    </font>
    <font>
      <sz val="11"/>
      <name val="Times New Roman"/>
      <family val="1"/>
    </font>
    <font>
      <b/>
      <sz val="8"/>
      <name val="Tahoma"/>
      <family val="0"/>
    </font>
    <font>
      <b/>
      <sz val="8"/>
      <name val="Arial"/>
      <family val="2"/>
    </font>
    <font>
      <sz val="10"/>
      <name val="MS Sans Serif"/>
      <family val="0"/>
    </font>
    <font>
      <b/>
      <sz val="10"/>
      <name val="MS Sans Serif"/>
      <family val="2"/>
    </font>
    <font>
      <sz val="14"/>
      <color indexed="8"/>
      <name val="Arial"/>
      <family val="2"/>
    </font>
    <font>
      <i/>
      <sz val="8"/>
      <name val="Arial"/>
      <family val="2"/>
    </font>
    <font>
      <b/>
      <vertAlign val="subscript"/>
      <sz val="10"/>
      <name val="Arial"/>
      <family val="2"/>
    </font>
    <font>
      <u val="single"/>
      <sz val="8"/>
      <color indexed="12"/>
      <name val="Arial"/>
      <family val="0"/>
    </font>
  </fonts>
  <fills count="7">
    <fill>
      <patternFill/>
    </fill>
    <fill>
      <patternFill patternType="gray125"/>
    </fill>
    <fill>
      <patternFill patternType="solid">
        <fgColor indexed="18"/>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5" fillId="0" borderId="0">
      <alignment/>
      <protection/>
    </xf>
    <xf numFmtId="0" fontId="22" fillId="0" borderId="0">
      <alignment/>
      <protection/>
    </xf>
    <xf numFmtId="9" fontId="0" fillId="0" borderId="0" applyFont="0" applyFill="0" applyBorder="0" applyAlignment="0" applyProtection="0"/>
  </cellStyleXfs>
  <cellXfs count="116">
    <xf numFmtId="0" fontId="0" fillId="0" borderId="0" xfId="0" applyAlignment="1">
      <alignment/>
    </xf>
    <xf numFmtId="0" fontId="2" fillId="0" borderId="0" xfId="0" applyFont="1" applyAlignment="1">
      <alignment/>
    </xf>
    <xf numFmtId="0" fontId="0" fillId="2" borderId="0" xfId="0" applyFill="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5" fillId="0" borderId="0" xfId="0" applyFont="1" applyAlignment="1">
      <alignment horizontal="center"/>
    </xf>
    <xf numFmtId="14" fontId="0" fillId="0" borderId="0" xfId="0" applyNumberFormat="1" applyAlignment="1">
      <alignment/>
    </xf>
    <xf numFmtId="3" fontId="0" fillId="0" borderId="0" xfId="0" applyNumberFormat="1" applyAlignment="1">
      <alignment/>
    </xf>
    <xf numFmtId="0" fontId="6" fillId="0" borderId="0" xfId="0" applyFont="1" applyAlignment="1">
      <alignment/>
    </xf>
    <xf numFmtId="10" fontId="0" fillId="0" borderId="0" xfId="0" applyNumberFormat="1" applyAlignment="1">
      <alignment/>
    </xf>
    <xf numFmtId="2" fontId="0" fillId="0" borderId="0" xfId="0" applyNumberFormat="1" applyAlignment="1">
      <alignment/>
    </xf>
    <xf numFmtId="0" fontId="7" fillId="0" borderId="0" xfId="0" applyFont="1" applyAlignment="1">
      <alignment/>
    </xf>
    <xf numFmtId="0" fontId="8" fillId="0" borderId="0" xfId="0" applyFont="1" applyAlignment="1">
      <alignment horizontal="center"/>
    </xf>
    <xf numFmtId="0" fontId="0" fillId="0" borderId="0" xfId="0" applyFont="1" applyAlignment="1">
      <alignment horizontal="center"/>
    </xf>
    <xf numFmtId="9"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42" fontId="6" fillId="0" borderId="0" xfId="0" applyNumberFormat="1" applyFont="1" applyAlignment="1">
      <alignment/>
    </xf>
    <xf numFmtId="44" fontId="0" fillId="0" borderId="0" xfId="0" applyNumberFormat="1" applyAlignment="1">
      <alignment/>
    </xf>
    <xf numFmtId="3" fontId="9" fillId="0" borderId="0" xfId="0" applyNumberFormat="1" applyFont="1" applyAlignment="1">
      <alignment/>
    </xf>
    <xf numFmtId="0" fontId="9" fillId="0" borderId="0" xfId="0" applyFont="1" applyAlignment="1">
      <alignment/>
    </xf>
    <xf numFmtId="3" fontId="10" fillId="0" borderId="0" xfId="0" applyNumberFormat="1" applyFont="1" applyAlignment="1">
      <alignment/>
    </xf>
    <xf numFmtId="0" fontId="10" fillId="0" borderId="0" xfId="0" applyFont="1" applyAlignment="1">
      <alignment horizontal="center"/>
    </xf>
    <xf numFmtId="10" fontId="0" fillId="0" borderId="1" xfId="0" applyNumberFormat="1" applyBorder="1" applyAlignment="1">
      <alignment/>
    </xf>
    <xf numFmtId="10" fontId="0" fillId="0" borderId="0" xfId="0" applyNumberFormat="1" applyBorder="1" applyAlignment="1">
      <alignment/>
    </xf>
    <xf numFmtId="0" fontId="9" fillId="0" borderId="0" xfId="0" applyFont="1" applyAlignment="1">
      <alignment horizontal="center"/>
    </xf>
    <xf numFmtId="10" fontId="6" fillId="0" borderId="0" xfId="0" applyNumberFormat="1" applyFont="1" applyAlignment="1">
      <alignment/>
    </xf>
    <xf numFmtId="168" fontId="0" fillId="0" borderId="0" xfId="0" applyNumberFormat="1" applyAlignment="1">
      <alignment/>
    </xf>
    <xf numFmtId="169" fontId="0" fillId="0" borderId="0" xfId="0" applyNumberFormat="1" applyAlignment="1">
      <alignment/>
    </xf>
    <xf numFmtId="168" fontId="0" fillId="0" borderId="1" xfId="0" applyNumberFormat="1" applyBorder="1" applyAlignment="1">
      <alignment/>
    </xf>
    <xf numFmtId="0" fontId="0" fillId="0" borderId="0" xfId="0" applyFont="1" applyAlignment="1">
      <alignment/>
    </xf>
    <xf numFmtId="168" fontId="0" fillId="0" borderId="0" xfId="0" applyNumberFormat="1" applyFont="1" applyAlignment="1">
      <alignment/>
    </xf>
    <xf numFmtId="0" fontId="5" fillId="0" borderId="0" xfId="0" applyFont="1" applyAlignment="1">
      <alignment/>
    </xf>
    <xf numFmtId="42" fontId="0" fillId="0" borderId="0" xfId="0" applyNumberFormat="1" applyAlignment="1">
      <alignment/>
    </xf>
    <xf numFmtId="42" fontId="0" fillId="0" borderId="1" xfId="0" applyNumberFormat="1" applyBorder="1" applyAlignment="1">
      <alignment/>
    </xf>
    <xf numFmtId="0" fontId="12" fillId="0" borderId="0" xfId="20" applyAlignment="1">
      <alignment/>
    </xf>
    <xf numFmtId="0" fontId="14"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6" fillId="0" borderId="0" xfId="0" applyFont="1" applyBorder="1" applyAlignment="1">
      <alignment/>
    </xf>
    <xf numFmtId="44" fontId="6" fillId="0" borderId="0" xfId="0" applyNumberFormat="1" applyFont="1" applyAlignment="1">
      <alignment/>
    </xf>
    <xf numFmtId="0" fontId="19" fillId="0" borderId="0" xfId="0" applyFont="1" applyAlignment="1">
      <alignment/>
    </xf>
    <xf numFmtId="44" fontId="0" fillId="0" borderId="0" xfId="0" applyNumberFormat="1" applyFont="1" applyAlignment="1">
      <alignment/>
    </xf>
    <xf numFmtId="10" fontId="0" fillId="0" borderId="0" xfId="0" applyNumberFormat="1" applyFont="1" applyAlignment="1">
      <alignment/>
    </xf>
    <xf numFmtId="165" fontId="0" fillId="0" borderId="0" xfId="0" applyNumberFormat="1" applyFont="1" applyAlignment="1">
      <alignment/>
    </xf>
    <xf numFmtId="3" fontId="0" fillId="0" borderId="1" xfId="0" applyNumberFormat="1" applyBorder="1" applyAlignment="1">
      <alignment/>
    </xf>
    <xf numFmtId="3" fontId="6" fillId="0" borderId="0" xfId="0" applyNumberFormat="1" applyFont="1" applyAlignment="1">
      <alignment/>
    </xf>
    <xf numFmtId="0" fontId="5" fillId="0" borderId="0" xfId="0" applyFont="1" applyAlignment="1">
      <alignment/>
    </xf>
    <xf numFmtId="0" fontId="6" fillId="0" borderId="0" xfId="0" applyFont="1" applyAlignment="1">
      <alignment horizontal="left"/>
    </xf>
    <xf numFmtId="3" fontId="0" fillId="3" borderId="0" xfId="0" applyNumberFormat="1" applyFill="1" applyAlignment="1">
      <alignment/>
    </xf>
    <xf numFmtId="3" fontId="0" fillId="3" borderId="1" xfId="0" applyNumberFormat="1" applyFill="1" applyBorder="1" applyAlignment="1">
      <alignment/>
    </xf>
    <xf numFmtId="3" fontId="6" fillId="4" borderId="0" xfId="0" applyNumberFormat="1" applyFont="1" applyFill="1" applyAlignment="1">
      <alignment/>
    </xf>
    <xf numFmtId="3" fontId="6" fillId="4" borderId="2" xfId="0" applyNumberFormat="1" applyFont="1" applyFill="1" applyBorder="1" applyAlignment="1">
      <alignment/>
    </xf>
    <xf numFmtId="7" fontId="22" fillId="0" borderId="0" xfId="22" applyNumberFormat="1">
      <alignment/>
      <protection/>
    </xf>
    <xf numFmtId="0" fontId="22" fillId="0" borderId="0" xfId="22">
      <alignment/>
      <protection/>
    </xf>
    <xf numFmtId="0" fontId="22" fillId="0" borderId="0" xfId="22" applyAlignment="1">
      <alignment horizontal="center"/>
      <protection/>
    </xf>
    <xf numFmtId="0" fontId="22" fillId="0" borderId="0" xfId="22" applyAlignment="1">
      <alignment horizontal="right" vertical="top"/>
      <protection/>
    </xf>
    <xf numFmtId="0" fontId="23" fillId="0" borderId="0" xfId="22" applyFont="1" applyAlignment="1">
      <alignment horizontal="center"/>
      <protection/>
    </xf>
    <xf numFmtId="3" fontId="22" fillId="0" borderId="0" xfId="22" applyNumberFormat="1">
      <alignment/>
      <protection/>
    </xf>
    <xf numFmtId="10" fontId="22" fillId="0" borderId="0" xfId="22" applyNumberFormat="1">
      <alignment/>
      <protection/>
    </xf>
    <xf numFmtId="2" fontId="22" fillId="0" borderId="0" xfId="22" applyNumberFormat="1">
      <alignment/>
      <protection/>
    </xf>
    <xf numFmtId="0" fontId="23" fillId="0" borderId="0" xfId="22" applyFont="1">
      <alignment/>
      <protection/>
    </xf>
    <xf numFmtId="0" fontId="23" fillId="0" borderId="0" xfId="22" applyFont="1" applyAlignment="1">
      <alignment horizontal="right" vertical="top"/>
      <protection/>
    </xf>
    <xf numFmtId="0" fontId="22" fillId="0" borderId="0" xfId="22" applyAlignment="1">
      <alignment horizontal="right"/>
      <protection/>
    </xf>
    <xf numFmtId="3" fontId="22" fillId="0" borderId="0" xfId="22" applyNumberFormat="1" applyAlignment="1">
      <alignment horizontal="right"/>
      <protection/>
    </xf>
    <xf numFmtId="165" fontId="22" fillId="0" borderId="0" xfId="22" applyNumberFormat="1">
      <alignment/>
      <protection/>
    </xf>
    <xf numFmtId="4" fontId="22" fillId="0" borderId="0" xfId="22" applyNumberFormat="1">
      <alignment/>
      <protection/>
    </xf>
    <xf numFmtId="0" fontId="0" fillId="0" borderId="0" xfId="0" applyBorder="1" applyAlignment="1">
      <alignment/>
    </xf>
    <xf numFmtId="0" fontId="6" fillId="0" borderId="0" xfId="0" applyFont="1" applyAlignment="1">
      <alignment horizontal="right"/>
    </xf>
    <xf numFmtId="39" fontId="0" fillId="0" borderId="0" xfId="0" applyNumberFormat="1" applyAlignment="1">
      <alignment/>
    </xf>
    <xf numFmtId="0" fontId="24" fillId="0" borderId="0" xfId="0" applyFont="1" applyAlignment="1">
      <alignment/>
    </xf>
    <xf numFmtId="37" fontId="0" fillId="0" borderId="0" xfId="0" applyNumberFormat="1" applyAlignment="1">
      <alignment/>
    </xf>
    <xf numFmtId="0" fontId="9" fillId="0" borderId="0" xfId="0" applyFont="1" applyAlignment="1">
      <alignment/>
    </xf>
    <xf numFmtId="42" fontId="0" fillId="0" borderId="3" xfId="0" applyNumberFormat="1" applyBorder="1" applyAlignment="1">
      <alignment/>
    </xf>
    <xf numFmtId="44" fontId="0" fillId="0" borderId="4" xfId="0" applyNumberFormat="1" applyBorder="1" applyAlignment="1">
      <alignment/>
    </xf>
    <xf numFmtId="44" fontId="0" fillId="0" borderId="0" xfId="0" applyNumberFormat="1" applyAlignment="1">
      <alignment horizontal="left"/>
    </xf>
    <xf numFmtId="0" fontId="1" fillId="0" borderId="0" xfId="0" applyFont="1" applyAlignment="1">
      <alignment horizontal="center"/>
    </xf>
    <xf numFmtId="0" fontId="25" fillId="0" borderId="0" xfId="0" applyFont="1" applyAlignment="1">
      <alignment/>
    </xf>
    <xf numFmtId="0" fontId="6" fillId="0" borderId="5" xfId="21" applyFont="1" applyBorder="1" applyAlignment="1">
      <alignment horizontal="center"/>
      <protection/>
    </xf>
    <xf numFmtId="0" fontId="6" fillId="0" borderId="6" xfId="21" applyFont="1" applyBorder="1" applyAlignment="1">
      <alignment horizontal="center"/>
      <protection/>
    </xf>
    <xf numFmtId="2" fontId="6" fillId="0" borderId="6" xfId="15" applyNumberFormat="1" applyFont="1" applyBorder="1" applyAlignment="1">
      <alignment horizontal="center"/>
    </xf>
    <xf numFmtId="10" fontId="6" fillId="0" borderId="6" xfId="21" applyNumberFormat="1" applyFont="1" applyBorder="1" applyAlignment="1">
      <alignment horizontal="center"/>
      <protection/>
    </xf>
    <xf numFmtId="0" fontId="6" fillId="0" borderId="7" xfId="21" applyFont="1" applyBorder="1" applyAlignment="1">
      <alignment horizontal="center"/>
      <protection/>
    </xf>
    <xf numFmtId="2" fontId="6" fillId="0" borderId="7" xfId="15" applyNumberFormat="1" applyFont="1" applyBorder="1" applyAlignment="1">
      <alignment horizontal="center"/>
    </xf>
    <xf numFmtId="10" fontId="6" fillId="0" borderId="7" xfId="21" applyNumberFormat="1" applyFont="1" applyBorder="1" applyAlignment="1">
      <alignment horizontal="center"/>
      <protection/>
    </xf>
    <xf numFmtId="186" fontId="6" fillId="0" borderId="5" xfId="21" applyNumberFormat="1" applyFont="1" applyBorder="1" applyAlignment="1">
      <alignment horizontal="center"/>
      <protection/>
    </xf>
    <xf numFmtId="2" fontId="6" fillId="0" borderId="5" xfId="15" applyNumberFormat="1" applyFont="1" applyBorder="1" applyAlignment="1">
      <alignment horizontal="center"/>
    </xf>
    <xf numFmtId="10" fontId="6" fillId="0" borderId="5" xfId="21" applyNumberFormat="1" applyFont="1" applyBorder="1" applyAlignment="1">
      <alignment horizontal="center"/>
      <protection/>
    </xf>
    <xf numFmtId="10" fontId="0" fillId="0" borderId="8" xfId="0" applyNumberFormat="1" applyBorder="1" applyAlignment="1">
      <alignment/>
    </xf>
    <xf numFmtId="0" fontId="6" fillId="0" borderId="9" xfId="21" applyFont="1" applyFill="1" applyBorder="1" applyAlignment="1">
      <alignment horizontal="center"/>
      <protection/>
    </xf>
    <xf numFmtId="10" fontId="6" fillId="0" borderId="9" xfId="21" applyNumberFormat="1" applyFont="1" applyFill="1" applyBorder="1" applyAlignment="1">
      <alignment horizontal="center"/>
      <protection/>
    </xf>
    <xf numFmtId="10" fontId="6" fillId="0" borderId="10" xfId="21" applyNumberFormat="1" applyFont="1" applyBorder="1" applyAlignment="1">
      <alignment horizontal="center"/>
      <protection/>
    </xf>
    <xf numFmtId="10" fontId="6" fillId="5" borderId="6" xfId="21" applyNumberFormat="1" applyFont="1" applyFill="1" applyBorder="1" applyAlignment="1">
      <alignment horizontal="center"/>
      <protection/>
    </xf>
    <xf numFmtId="3" fontId="6" fillId="0" borderId="7" xfId="0" applyNumberFormat="1" applyFont="1" applyBorder="1" applyAlignment="1">
      <alignment/>
    </xf>
    <xf numFmtId="3" fontId="6" fillId="0" borderId="11" xfId="0" applyNumberFormat="1" applyFont="1" applyBorder="1" applyAlignment="1">
      <alignment/>
    </xf>
    <xf numFmtId="3" fontId="6" fillId="0" borderId="5" xfId="0" applyNumberFormat="1" applyFont="1" applyBorder="1" applyAlignment="1">
      <alignment/>
    </xf>
    <xf numFmtId="3" fontId="6" fillId="0" borderId="6" xfId="0" applyNumberFormat="1" applyFont="1" applyBorder="1" applyAlignment="1">
      <alignment/>
    </xf>
    <xf numFmtId="2" fontId="6" fillId="0" borderId="0" xfId="0" applyNumberFormat="1" applyFont="1" applyAlignment="1">
      <alignment/>
    </xf>
    <xf numFmtId="44" fontId="6" fillId="0" borderId="5" xfId="0" applyNumberFormat="1" applyFont="1" applyBorder="1" applyAlignment="1">
      <alignment/>
    </xf>
    <xf numFmtId="44" fontId="6" fillId="0" borderId="6" xfId="0" applyNumberFormat="1" applyFont="1" applyBorder="1" applyAlignment="1">
      <alignment/>
    </xf>
    <xf numFmtId="44" fontId="6" fillId="0" borderId="7" xfId="0" applyNumberFormat="1" applyFont="1" applyBorder="1" applyAlignment="1">
      <alignment/>
    </xf>
    <xf numFmtId="0" fontId="27" fillId="0" borderId="0" xfId="20" applyFont="1" applyAlignment="1">
      <alignment/>
    </xf>
    <xf numFmtId="0" fontId="21" fillId="6" borderId="12" xfId="0" applyFont="1" applyFill="1" applyBorder="1" applyAlignment="1">
      <alignment horizontal="left" vertical="center" wrapText="1"/>
    </xf>
    <xf numFmtId="0" fontId="0" fillId="6" borderId="13" xfId="0" applyFill="1" applyBorder="1" applyAlignment="1">
      <alignment horizontal="left" vertical="center" wrapText="1"/>
    </xf>
    <xf numFmtId="0" fontId="0" fillId="6" borderId="14" xfId="0" applyFill="1" applyBorder="1" applyAlignment="1">
      <alignment horizontal="left" vertical="center" wrapText="1"/>
    </xf>
    <xf numFmtId="0" fontId="0" fillId="6" borderId="15" xfId="0" applyFill="1" applyBorder="1" applyAlignment="1">
      <alignment horizontal="left" vertical="center" wrapText="1"/>
    </xf>
    <xf numFmtId="0" fontId="0" fillId="6" borderId="0" xfId="0" applyFill="1" applyBorder="1" applyAlignment="1">
      <alignment horizontal="left" vertical="center" wrapText="1"/>
    </xf>
    <xf numFmtId="0" fontId="0" fillId="6" borderId="16" xfId="0" applyFill="1" applyBorder="1" applyAlignment="1">
      <alignment horizontal="left" vertical="center" wrapText="1"/>
    </xf>
    <xf numFmtId="0" fontId="0" fillId="6" borderId="17" xfId="0" applyFill="1" applyBorder="1" applyAlignment="1">
      <alignment horizontal="left" vertical="center" wrapText="1"/>
    </xf>
    <xf numFmtId="0" fontId="0" fillId="6" borderId="18" xfId="0" applyFill="1" applyBorder="1" applyAlignment="1">
      <alignment horizontal="left" vertical="center" wrapText="1"/>
    </xf>
    <xf numFmtId="0" fontId="0" fillId="6" borderId="19" xfId="0" applyFill="1" applyBorder="1" applyAlignment="1">
      <alignment horizontal="left" vertical="center" wrapText="1"/>
    </xf>
    <xf numFmtId="0" fontId="12" fillId="0" borderId="0" xfId="20" applyAlignment="1">
      <alignment horizontal="center"/>
    </xf>
    <xf numFmtId="0" fontId="0" fillId="0" borderId="0" xfId="0"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h 13 0324319835_58301" xfId="21"/>
    <cellStyle name="Normal_REPOR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2095500</xdr:colOff>
      <xdr:row>35</xdr:row>
      <xdr:rowOff>133350</xdr:rowOff>
    </xdr:from>
    <xdr:to>
      <xdr:col>3</xdr:col>
      <xdr:colOff>428625</xdr:colOff>
      <xdr:row>36</xdr:row>
      <xdr:rowOff>38100</xdr:rowOff>
    </xdr:to>
    <xdr:sp>
      <xdr:nvSpPr>
        <xdr:cNvPr id="1" name="Line 2"/>
        <xdr:cNvSpPr>
          <a:spLocks/>
        </xdr:cNvSpPr>
      </xdr:nvSpPr>
      <xdr:spPr>
        <a:xfrm flipV="1">
          <a:off x="3562350" y="5886450"/>
          <a:ext cx="79057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35</xdr:row>
      <xdr:rowOff>152400</xdr:rowOff>
    </xdr:from>
    <xdr:to>
      <xdr:col>5</xdr:col>
      <xdr:colOff>409575</xdr:colOff>
      <xdr:row>37</xdr:row>
      <xdr:rowOff>38100</xdr:rowOff>
    </xdr:to>
    <xdr:sp>
      <xdr:nvSpPr>
        <xdr:cNvPr id="2" name="Line 3"/>
        <xdr:cNvSpPr>
          <a:spLocks/>
        </xdr:cNvSpPr>
      </xdr:nvSpPr>
      <xdr:spPr>
        <a:xfrm flipV="1">
          <a:off x="5400675" y="5905500"/>
          <a:ext cx="676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7</xdr:row>
      <xdr:rowOff>0</xdr:rowOff>
    </xdr:from>
    <xdr:to>
      <xdr:col>5</xdr:col>
      <xdr:colOff>609600</xdr:colOff>
      <xdr:row>11</xdr:row>
      <xdr:rowOff>142875</xdr:rowOff>
    </xdr:to>
    <xdr:sp>
      <xdr:nvSpPr>
        <xdr:cNvPr id="1" name="AutoShape 1" descr="ac0b7850-cd5c-46e7-baf6-871fca342045"/>
        <xdr:cNvSpPr>
          <a:spLocks/>
        </xdr:cNvSpPr>
      </xdr:nvSpPr>
      <xdr:spPr>
        <a:xfrm>
          <a:off x="3609975" y="1171575"/>
          <a:ext cx="276225" cy="752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16</xdr:row>
      <xdr:rowOff>28575</xdr:rowOff>
    </xdr:from>
    <xdr:to>
      <xdr:col>7</xdr:col>
      <xdr:colOff>504825</xdr:colOff>
      <xdr:row>22</xdr:row>
      <xdr:rowOff>0</xdr:rowOff>
    </xdr:to>
    <xdr:sp>
      <xdr:nvSpPr>
        <xdr:cNvPr id="2" name="AutoShape 2" descr="d59ab2b0-538a-4498-b85a-5cf21e2809b1"/>
        <xdr:cNvSpPr>
          <a:spLocks/>
        </xdr:cNvSpPr>
      </xdr:nvSpPr>
      <xdr:spPr>
        <a:xfrm>
          <a:off x="4886325" y="2638425"/>
          <a:ext cx="228600" cy="942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28</xdr:row>
      <xdr:rowOff>19050</xdr:rowOff>
    </xdr:from>
    <xdr:to>
      <xdr:col>7</xdr:col>
      <xdr:colOff>523875</xdr:colOff>
      <xdr:row>34</xdr:row>
      <xdr:rowOff>152400</xdr:rowOff>
    </xdr:to>
    <xdr:sp>
      <xdr:nvSpPr>
        <xdr:cNvPr id="3" name="AutoShape 3" descr="5ca5f3e1-0fdd-40a3-bdb2-c8c2d6c92398"/>
        <xdr:cNvSpPr>
          <a:spLocks/>
        </xdr:cNvSpPr>
      </xdr:nvSpPr>
      <xdr:spPr>
        <a:xfrm>
          <a:off x="4933950" y="4610100"/>
          <a:ext cx="200025"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39</xdr:row>
      <xdr:rowOff>9525</xdr:rowOff>
    </xdr:from>
    <xdr:to>
      <xdr:col>5</xdr:col>
      <xdr:colOff>533400</xdr:colOff>
      <xdr:row>44</xdr:row>
      <xdr:rowOff>123825</xdr:rowOff>
    </xdr:to>
    <xdr:sp>
      <xdr:nvSpPr>
        <xdr:cNvPr id="4" name="AutoShape 4" descr="d534615d-fb47-45d2-95e8-8b0ab4718b02"/>
        <xdr:cNvSpPr>
          <a:spLocks/>
        </xdr:cNvSpPr>
      </xdr:nvSpPr>
      <xdr:spPr>
        <a:xfrm>
          <a:off x="3552825" y="6419850"/>
          <a:ext cx="257175"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36</xdr:row>
      <xdr:rowOff>0</xdr:rowOff>
    </xdr:from>
    <xdr:to>
      <xdr:col>8</xdr:col>
      <xdr:colOff>466725</xdr:colOff>
      <xdr:row>50</xdr:row>
      <xdr:rowOff>142875</xdr:rowOff>
    </xdr:to>
    <xdr:pic>
      <xdr:nvPicPr>
        <xdr:cNvPr id="1" name="Picture 1"/>
        <xdr:cNvPicPr preferRelativeResize="1">
          <a:picLocks noChangeAspect="1"/>
        </xdr:cNvPicPr>
      </xdr:nvPicPr>
      <xdr:blipFill>
        <a:blip r:embed="rId1"/>
        <a:stretch>
          <a:fillRect/>
        </a:stretch>
      </xdr:blipFill>
      <xdr:spPr>
        <a:xfrm>
          <a:off x="457200" y="5829300"/>
          <a:ext cx="4457700" cy="2409825"/>
        </a:xfrm>
        <a:prstGeom prst="rect">
          <a:avLst/>
        </a:prstGeom>
        <a:noFill/>
        <a:ln w="9525" cmpd="sng">
          <a:noFill/>
        </a:ln>
      </xdr:spPr>
    </xdr:pic>
    <xdr:clientData/>
  </xdr:twoCellAnchor>
  <xdr:twoCellAnchor editAs="oneCell">
    <xdr:from>
      <xdr:col>2</xdr:col>
      <xdr:colOff>200025</xdr:colOff>
      <xdr:row>90</xdr:row>
      <xdr:rowOff>9525</xdr:rowOff>
    </xdr:from>
    <xdr:to>
      <xdr:col>8</xdr:col>
      <xdr:colOff>466725</xdr:colOff>
      <xdr:row>104</xdr:row>
      <xdr:rowOff>152400</xdr:rowOff>
    </xdr:to>
    <xdr:pic>
      <xdr:nvPicPr>
        <xdr:cNvPr id="2" name="Picture 2"/>
        <xdr:cNvPicPr preferRelativeResize="1">
          <a:picLocks noChangeAspect="1"/>
        </xdr:cNvPicPr>
      </xdr:nvPicPr>
      <xdr:blipFill>
        <a:blip r:embed="rId2"/>
        <a:stretch>
          <a:fillRect/>
        </a:stretch>
      </xdr:blipFill>
      <xdr:spPr>
        <a:xfrm>
          <a:off x="457200" y="14582775"/>
          <a:ext cx="4457700" cy="2409825"/>
        </a:xfrm>
        <a:prstGeom prst="rect">
          <a:avLst/>
        </a:prstGeom>
        <a:noFill/>
        <a:ln w="9525" cmpd="sng">
          <a:noFill/>
        </a:ln>
      </xdr:spPr>
    </xdr:pic>
    <xdr:clientData/>
  </xdr:twoCellAnchor>
  <xdr:twoCellAnchor editAs="oneCell">
    <xdr:from>
      <xdr:col>2</xdr:col>
      <xdr:colOff>200025</xdr:colOff>
      <xdr:row>144</xdr:row>
      <xdr:rowOff>0</xdr:rowOff>
    </xdr:from>
    <xdr:to>
      <xdr:col>8</xdr:col>
      <xdr:colOff>466725</xdr:colOff>
      <xdr:row>158</xdr:row>
      <xdr:rowOff>142875</xdr:rowOff>
    </xdr:to>
    <xdr:pic>
      <xdr:nvPicPr>
        <xdr:cNvPr id="3" name="Picture 3"/>
        <xdr:cNvPicPr preferRelativeResize="1">
          <a:picLocks noChangeAspect="1"/>
        </xdr:cNvPicPr>
      </xdr:nvPicPr>
      <xdr:blipFill>
        <a:blip r:embed="rId3"/>
        <a:stretch>
          <a:fillRect/>
        </a:stretch>
      </xdr:blipFill>
      <xdr:spPr>
        <a:xfrm>
          <a:off x="457200" y="23317200"/>
          <a:ext cx="4457700" cy="2409825"/>
        </a:xfrm>
        <a:prstGeom prst="rect">
          <a:avLst/>
        </a:prstGeom>
        <a:noFill/>
        <a:ln w="9525" cmpd="sng">
          <a:noFill/>
        </a:ln>
      </xdr:spPr>
    </xdr:pic>
    <xdr:clientData/>
  </xdr:twoCellAnchor>
  <xdr:twoCellAnchor editAs="oneCell">
    <xdr:from>
      <xdr:col>2</xdr:col>
      <xdr:colOff>200025</xdr:colOff>
      <xdr:row>197</xdr:row>
      <xdr:rowOff>152400</xdr:rowOff>
    </xdr:from>
    <xdr:to>
      <xdr:col>8</xdr:col>
      <xdr:colOff>466725</xdr:colOff>
      <xdr:row>212</xdr:row>
      <xdr:rowOff>133350</xdr:rowOff>
    </xdr:to>
    <xdr:pic>
      <xdr:nvPicPr>
        <xdr:cNvPr id="4" name="Picture 4"/>
        <xdr:cNvPicPr preferRelativeResize="1">
          <a:picLocks noChangeAspect="1"/>
        </xdr:cNvPicPr>
      </xdr:nvPicPr>
      <xdr:blipFill>
        <a:blip r:embed="rId4"/>
        <a:stretch>
          <a:fillRect/>
        </a:stretch>
      </xdr:blipFill>
      <xdr:spPr>
        <a:xfrm>
          <a:off x="457200" y="32051625"/>
          <a:ext cx="4457700" cy="2409825"/>
        </a:xfrm>
        <a:prstGeom prst="rect">
          <a:avLst/>
        </a:prstGeom>
        <a:noFill/>
        <a:ln w="9525" cmpd="sng">
          <a:noFill/>
        </a:ln>
      </xdr:spPr>
    </xdr:pic>
    <xdr:clientData/>
  </xdr:twoCellAnchor>
  <xdr:twoCellAnchor editAs="oneCell">
    <xdr:from>
      <xdr:col>2</xdr:col>
      <xdr:colOff>200025</xdr:colOff>
      <xdr:row>252</xdr:row>
      <xdr:rowOff>0</xdr:rowOff>
    </xdr:from>
    <xdr:to>
      <xdr:col>8</xdr:col>
      <xdr:colOff>466725</xdr:colOff>
      <xdr:row>266</xdr:row>
      <xdr:rowOff>142875</xdr:rowOff>
    </xdr:to>
    <xdr:pic>
      <xdr:nvPicPr>
        <xdr:cNvPr id="5" name="Picture 5"/>
        <xdr:cNvPicPr preferRelativeResize="1">
          <a:picLocks noChangeAspect="1"/>
        </xdr:cNvPicPr>
      </xdr:nvPicPr>
      <xdr:blipFill>
        <a:blip r:embed="rId5"/>
        <a:stretch>
          <a:fillRect/>
        </a:stretch>
      </xdr:blipFill>
      <xdr:spPr>
        <a:xfrm>
          <a:off x="457200" y="40805100"/>
          <a:ext cx="4457700" cy="2409825"/>
        </a:xfrm>
        <a:prstGeom prst="rect">
          <a:avLst/>
        </a:prstGeom>
        <a:noFill/>
        <a:ln w="9525" cmpd="sng">
          <a:noFill/>
        </a:ln>
      </xdr:spPr>
    </xdr:pic>
    <xdr:clientData/>
  </xdr:twoCellAnchor>
  <xdr:twoCellAnchor editAs="oneCell">
    <xdr:from>
      <xdr:col>2</xdr:col>
      <xdr:colOff>200025</xdr:colOff>
      <xdr:row>306</xdr:row>
      <xdr:rowOff>9525</xdr:rowOff>
    </xdr:from>
    <xdr:to>
      <xdr:col>8</xdr:col>
      <xdr:colOff>466725</xdr:colOff>
      <xdr:row>320</xdr:row>
      <xdr:rowOff>152400</xdr:rowOff>
    </xdr:to>
    <xdr:pic>
      <xdr:nvPicPr>
        <xdr:cNvPr id="6" name="Picture 6"/>
        <xdr:cNvPicPr preferRelativeResize="1">
          <a:picLocks noChangeAspect="1"/>
        </xdr:cNvPicPr>
      </xdr:nvPicPr>
      <xdr:blipFill>
        <a:blip r:embed="rId6"/>
        <a:stretch>
          <a:fillRect/>
        </a:stretch>
      </xdr:blipFill>
      <xdr:spPr>
        <a:xfrm>
          <a:off x="457200" y="49558575"/>
          <a:ext cx="4457700" cy="2409825"/>
        </a:xfrm>
        <a:prstGeom prst="rect">
          <a:avLst/>
        </a:prstGeom>
        <a:noFill/>
        <a:ln w="9525" cmpd="sng">
          <a:noFill/>
        </a:ln>
      </xdr:spPr>
    </xdr:pic>
    <xdr:clientData/>
  </xdr:twoCellAnchor>
  <xdr:twoCellAnchor editAs="oneCell">
    <xdr:from>
      <xdr:col>2</xdr:col>
      <xdr:colOff>200025</xdr:colOff>
      <xdr:row>360</xdr:row>
      <xdr:rowOff>0</xdr:rowOff>
    </xdr:from>
    <xdr:to>
      <xdr:col>8</xdr:col>
      <xdr:colOff>466725</xdr:colOff>
      <xdr:row>374</xdr:row>
      <xdr:rowOff>142875</xdr:rowOff>
    </xdr:to>
    <xdr:pic>
      <xdr:nvPicPr>
        <xdr:cNvPr id="7" name="Picture 7"/>
        <xdr:cNvPicPr preferRelativeResize="1">
          <a:picLocks noChangeAspect="1"/>
        </xdr:cNvPicPr>
      </xdr:nvPicPr>
      <xdr:blipFill>
        <a:blip r:embed="rId7"/>
        <a:stretch>
          <a:fillRect/>
        </a:stretch>
      </xdr:blipFill>
      <xdr:spPr>
        <a:xfrm>
          <a:off x="457200" y="58293000"/>
          <a:ext cx="4457700" cy="2409825"/>
        </a:xfrm>
        <a:prstGeom prst="rect">
          <a:avLst/>
        </a:prstGeom>
        <a:noFill/>
        <a:ln w="9525" cmpd="sng">
          <a:noFill/>
        </a:ln>
      </xdr:spPr>
    </xdr:pic>
    <xdr:clientData/>
  </xdr:twoCellAnchor>
  <xdr:twoCellAnchor editAs="oneCell">
    <xdr:from>
      <xdr:col>2</xdr:col>
      <xdr:colOff>200025</xdr:colOff>
      <xdr:row>413</xdr:row>
      <xdr:rowOff>152400</xdr:rowOff>
    </xdr:from>
    <xdr:to>
      <xdr:col>8</xdr:col>
      <xdr:colOff>466725</xdr:colOff>
      <xdr:row>428</xdr:row>
      <xdr:rowOff>133350</xdr:rowOff>
    </xdr:to>
    <xdr:pic>
      <xdr:nvPicPr>
        <xdr:cNvPr id="8" name="Picture 8"/>
        <xdr:cNvPicPr preferRelativeResize="1">
          <a:picLocks noChangeAspect="1"/>
        </xdr:cNvPicPr>
      </xdr:nvPicPr>
      <xdr:blipFill>
        <a:blip r:embed="rId8"/>
        <a:stretch>
          <a:fillRect/>
        </a:stretch>
      </xdr:blipFill>
      <xdr:spPr>
        <a:xfrm>
          <a:off x="457200" y="67027425"/>
          <a:ext cx="4457700" cy="2409825"/>
        </a:xfrm>
        <a:prstGeom prst="rect">
          <a:avLst/>
        </a:prstGeom>
        <a:noFill/>
        <a:ln w="9525" cmpd="sng">
          <a:noFill/>
        </a:ln>
      </xdr:spPr>
    </xdr:pic>
    <xdr:clientData/>
  </xdr:twoCellAnchor>
  <xdr:twoCellAnchor editAs="oneCell">
    <xdr:from>
      <xdr:col>2</xdr:col>
      <xdr:colOff>200025</xdr:colOff>
      <xdr:row>468</xdr:row>
      <xdr:rowOff>0</xdr:rowOff>
    </xdr:from>
    <xdr:to>
      <xdr:col>8</xdr:col>
      <xdr:colOff>466725</xdr:colOff>
      <xdr:row>482</xdr:row>
      <xdr:rowOff>142875</xdr:rowOff>
    </xdr:to>
    <xdr:pic>
      <xdr:nvPicPr>
        <xdr:cNvPr id="9" name="Picture 9"/>
        <xdr:cNvPicPr preferRelativeResize="1">
          <a:picLocks noChangeAspect="1"/>
        </xdr:cNvPicPr>
      </xdr:nvPicPr>
      <xdr:blipFill>
        <a:blip r:embed="rId9"/>
        <a:stretch>
          <a:fillRect/>
        </a:stretch>
      </xdr:blipFill>
      <xdr:spPr>
        <a:xfrm>
          <a:off x="457200" y="75780900"/>
          <a:ext cx="4457700" cy="2409825"/>
        </a:xfrm>
        <a:prstGeom prst="rect">
          <a:avLst/>
        </a:prstGeom>
        <a:noFill/>
        <a:ln w="9525" cmpd="sng">
          <a:noFill/>
        </a:ln>
      </xdr:spPr>
    </xdr:pic>
    <xdr:clientData/>
  </xdr:twoCellAnchor>
  <xdr:twoCellAnchor editAs="oneCell">
    <xdr:from>
      <xdr:col>2</xdr:col>
      <xdr:colOff>200025</xdr:colOff>
      <xdr:row>522</xdr:row>
      <xdr:rowOff>9525</xdr:rowOff>
    </xdr:from>
    <xdr:to>
      <xdr:col>8</xdr:col>
      <xdr:colOff>466725</xdr:colOff>
      <xdr:row>536</xdr:row>
      <xdr:rowOff>152400</xdr:rowOff>
    </xdr:to>
    <xdr:pic>
      <xdr:nvPicPr>
        <xdr:cNvPr id="10" name="Picture 10"/>
        <xdr:cNvPicPr preferRelativeResize="1">
          <a:picLocks noChangeAspect="1"/>
        </xdr:cNvPicPr>
      </xdr:nvPicPr>
      <xdr:blipFill>
        <a:blip r:embed="rId10"/>
        <a:stretch>
          <a:fillRect/>
        </a:stretch>
      </xdr:blipFill>
      <xdr:spPr>
        <a:xfrm>
          <a:off x="457200" y="84534375"/>
          <a:ext cx="4457700" cy="2409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19</xdr:row>
      <xdr:rowOff>9525</xdr:rowOff>
    </xdr:from>
    <xdr:to>
      <xdr:col>7</xdr:col>
      <xdr:colOff>76200</xdr:colOff>
      <xdr:row>19</xdr:row>
      <xdr:rowOff>142875</xdr:rowOff>
    </xdr:to>
    <xdr:sp>
      <xdr:nvSpPr>
        <xdr:cNvPr id="1" name="Line 1"/>
        <xdr:cNvSpPr>
          <a:spLocks/>
        </xdr:cNvSpPr>
      </xdr:nvSpPr>
      <xdr:spPr>
        <a:xfrm flipV="1">
          <a:off x="4800600" y="3143250"/>
          <a:ext cx="390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180975</xdr:colOff>
      <xdr:row>20</xdr:row>
      <xdr:rowOff>104775</xdr:rowOff>
    </xdr:from>
    <xdr:to>
      <xdr:col>2</xdr:col>
      <xdr:colOff>571500</xdr:colOff>
      <xdr:row>22</xdr:row>
      <xdr:rowOff>104775</xdr:rowOff>
    </xdr:to>
    <xdr:pic>
      <xdr:nvPicPr>
        <xdr:cNvPr id="2" name="ipfj5hLTaKakUT2CM:"/>
        <xdr:cNvPicPr preferRelativeResize="1">
          <a:picLocks noChangeAspect="1"/>
        </xdr:cNvPicPr>
      </xdr:nvPicPr>
      <xdr:blipFill>
        <a:blip r:embed="rId1"/>
        <a:stretch>
          <a:fillRect/>
        </a:stretch>
      </xdr:blipFill>
      <xdr:spPr>
        <a:xfrm>
          <a:off x="1400175" y="3400425"/>
          <a:ext cx="390525" cy="390525"/>
        </a:xfrm>
        <a:prstGeom prst="rect">
          <a:avLst/>
        </a:prstGeom>
        <a:noFill/>
        <a:ln w="9525" cmpd="sng">
          <a:noFill/>
        </a:ln>
      </xdr:spPr>
    </xdr:pic>
    <xdr:clientData/>
  </xdr:twoCellAnchor>
  <xdr:twoCellAnchor>
    <xdr:from>
      <xdr:col>7</xdr:col>
      <xdr:colOff>209550</xdr:colOff>
      <xdr:row>80</xdr:row>
      <xdr:rowOff>9525</xdr:rowOff>
    </xdr:from>
    <xdr:to>
      <xdr:col>7</xdr:col>
      <xdr:colOff>676275</xdr:colOff>
      <xdr:row>84</xdr:row>
      <xdr:rowOff>161925</xdr:rowOff>
    </xdr:to>
    <xdr:sp>
      <xdr:nvSpPr>
        <xdr:cNvPr id="3" name="AutoShape 4"/>
        <xdr:cNvSpPr>
          <a:spLocks/>
        </xdr:cNvSpPr>
      </xdr:nvSpPr>
      <xdr:spPr>
        <a:xfrm>
          <a:off x="5324475" y="13163550"/>
          <a:ext cx="466725" cy="819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48</xdr:row>
      <xdr:rowOff>85725</xdr:rowOff>
    </xdr:from>
    <xdr:to>
      <xdr:col>5</xdr:col>
      <xdr:colOff>504825</xdr:colOff>
      <xdr:row>52</xdr:row>
      <xdr:rowOff>114300</xdr:rowOff>
    </xdr:to>
    <xdr:sp>
      <xdr:nvSpPr>
        <xdr:cNvPr id="1" name="AutoShape 7"/>
        <xdr:cNvSpPr>
          <a:spLocks/>
        </xdr:cNvSpPr>
      </xdr:nvSpPr>
      <xdr:spPr>
        <a:xfrm>
          <a:off x="4191000" y="8334375"/>
          <a:ext cx="390525" cy="695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390525</xdr:colOff>
      <xdr:row>85</xdr:row>
      <xdr:rowOff>38100</xdr:rowOff>
    </xdr:from>
    <xdr:to>
      <xdr:col>7</xdr:col>
      <xdr:colOff>781050</xdr:colOff>
      <xdr:row>87</xdr:row>
      <xdr:rowOff>95250</xdr:rowOff>
    </xdr:to>
    <xdr:pic>
      <xdr:nvPicPr>
        <xdr:cNvPr id="2" name="ipfj5hLTaKakUT2CM:"/>
        <xdr:cNvPicPr preferRelativeResize="1">
          <a:picLocks noChangeAspect="1"/>
        </xdr:cNvPicPr>
      </xdr:nvPicPr>
      <xdr:blipFill>
        <a:blip r:embed="rId1"/>
        <a:stretch>
          <a:fillRect/>
        </a:stretch>
      </xdr:blipFill>
      <xdr:spPr>
        <a:xfrm>
          <a:off x="6210300" y="14363700"/>
          <a:ext cx="390525" cy="390525"/>
        </a:xfrm>
        <a:prstGeom prst="rect">
          <a:avLst/>
        </a:prstGeom>
        <a:noFill/>
        <a:ln w="9525" cmpd="sng">
          <a:noFill/>
        </a:ln>
      </xdr:spPr>
    </xdr:pic>
    <xdr:clientData/>
  </xdr:twoCellAnchor>
  <xdr:twoCellAnchor editAs="oneCell">
    <xdr:from>
      <xdr:col>1</xdr:col>
      <xdr:colOff>0</xdr:colOff>
      <xdr:row>98</xdr:row>
      <xdr:rowOff>9525</xdr:rowOff>
    </xdr:from>
    <xdr:to>
      <xdr:col>7</xdr:col>
      <xdr:colOff>438150</xdr:colOff>
      <xdr:row>101</xdr:row>
      <xdr:rowOff>85725</xdr:rowOff>
    </xdr:to>
    <xdr:pic>
      <xdr:nvPicPr>
        <xdr:cNvPr id="3" name="Picture 10"/>
        <xdr:cNvPicPr preferRelativeResize="1">
          <a:picLocks noChangeAspect="1"/>
        </xdr:cNvPicPr>
      </xdr:nvPicPr>
      <xdr:blipFill>
        <a:blip r:embed="rId2"/>
        <a:stretch>
          <a:fillRect/>
        </a:stretch>
      </xdr:blipFill>
      <xdr:spPr>
        <a:xfrm>
          <a:off x="609600" y="16459200"/>
          <a:ext cx="56483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infm.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xinfm.com/training/pdfiles/course06.pdf"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18"/>
  <sheetViews>
    <sheetView tabSelected="1" workbookViewId="0" topLeftCell="A1">
      <selection activeCell="A1" sqref="A1"/>
    </sheetView>
  </sheetViews>
  <sheetFormatPr defaultColWidth="9.140625" defaultRowHeight="12.75"/>
  <cols>
    <col min="2" max="2" width="32.421875" style="0" customWidth="1"/>
    <col min="6" max="6" width="12.00390625" style="0" customWidth="1"/>
  </cols>
  <sheetData>
    <row r="1" ht="18">
      <c r="B1" s="1" t="s">
        <v>0</v>
      </c>
    </row>
    <row r="2" ht="18">
      <c r="B2" s="1" t="s">
        <v>5</v>
      </c>
    </row>
    <row r="3" spans="1:6" ht="3.75" customHeight="1">
      <c r="A3" s="2"/>
      <c r="B3" s="2"/>
      <c r="C3" s="2"/>
      <c r="D3" s="2"/>
      <c r="E3" s="2"/>
      <c r="F3" s="2"/>
    </row>
    <row r="5" ht="12.75">
      <c r="A5" t="s">
        <v>6</v>
      </c>
    </row>
    <row r="6" ht="12.75">
      <c r="A6" t="s">
        <v>217</v>
      </c>
    </row>
    <row r="7" ht="12.75">
      <c r="A7" s="37" t="s">
        <v>218</v>
      </c>
    </row>
    <row r="10" spans="1:3" ht="12.75">
      <c r="A10" s="13" t="s">
        <v>25</v>
      </c>
      <c r="B10" s="13" t="s">
        <v>26</v>
      </c>
      <c r="C10" t="s">
        <v>3</v>
      </c>
    </row>
    <row r="12" spans="1:9" ht="12.75">
      <c r="A12" s="5">
        <v>1</v>
      </c>
      <c r="B12" s="37" t="s">
        <v>1</v>
      </c>
      <c r="C12" s="105" t="s">
        <v>219</v>
      </c>
      <c r="D12" s="106"/>
      <c r="E12" s="106"/>
      <c r="F12" s="106"/>
      <c r="G12" s="106"/>
      <c r="H12" s="106"/>
      <c r="I12" s="107"/>
    </row>
    <row r="13" spans="1:9" ht="12.75">
      <c r="A13" s="5">
        <v>2</v>
      </c>
      <c r="B13" s="37" t="s">
        <v>47</v>
      </c>
      <c r="C13" s="108"/>
      <c r="D13" s="109"/>
      <c r="E13" s="109"/>
      <c r="F13" s="109"/>
      <c r="G13" s="109"/>
      <c r="H13" s="109"/>
      <c r="I13" s="110"/>
    </row>
    <row r="14" spans="1:9" ht="12.75">
      <c r="A14" s="5">
        <v>3</v>
      </c>
      <c r="B14" s="37" t="s">
        <v>99</v>
      </c>
      <c r="C14" s="108"/>
      <c r="D14" s="109"/>
      <c r="E14" s="109"/>
      <c r="F14" s="109"/>
      <c r="G14" s="109"/>
      <c r="H14" s="109"/>
      <c r="I14" s="110"/>
    </row>
    <row r="15" spans="1:9" ht="12.75">
      <c r="A15" s="5">
        <v>4</v>
      </c>
      <c r="B15" s="37" t="s">
        <v>121</v>
      </c>
      <c r="C15" s="108"/>
      <c r="D15" s="109"/>
      <c r="E15" s="109"/>
      <c r="F15" s="109"/>
      <c r="G15" s="109"/>
      <c r="H15" s="109"/>
      <c r="I15" s="110"/>
    </row>
    <row r="16" spans="1:9" ht="12.75">
      <c r="A16" s="5">
        <v>5</v>
      </c>
      <c r="B16" s="37" t="s">
        <v>355</v>
      </c>
      <c r="C16" s="108"/>
      <c r="D16" s="109"/>
      <c r="E16" s="109"/>
      <c r="F16" s="109"/>
      <c r="G16" s="109"/>
      <c r="H16" s="109"/>
      <c r="I16" s="110"/>
    </row>
    <row r="17" spans="1:9" ht="12.75">
      <c r="A17" s="5">
        <v>6</v>
      </c>
      <c r="B17" s="37" t="s">
        <v>354</v>
      </c>
      <c r="C17" s="108"/>
      <c r="D17" s="109"/>
      <c r="E17" s="109"/>
      <c r="F17" s="109"/>
      <c r="G17" s="109"/>
      <c r="H17" s="109"/>
      <c r="I17" s="110"/>
    </row>
    <row r="18" spans="3:9" ht="12.75">
      <c r="C18" s="111"/>
      <c r="D18" s="112"/>
      <c r="E18" s="112"/>
      <c r="F18" s="112"/>
      <c r="G18" s="112"/>
      <c r="H18" s="112"/>
      <c r="I18" s="113"/>
    </row>
  </sheetData>
  <mergeCells count="1">
    <mergeCell ref="C12:I18"/>
  </mergeCells>
  <hyperlinks>
    <hyperlink ref="B12" location="'1 - Time Value of Money'!A1" display="Time Value of Money"/>
    <hyperlink ref="B13" location="'2 - Risk Return Concepts'!A1" display="Risk Return Concepts"/>
    <hyperlink ref="B14" location="'3 - Option Pricing'!A1" display="Option Pricing"/>
    <hyperlink ref="B15" location="'4 - Cost Benefit Analysis'!A1" display="Cost Benefit Analysis"/>
    <hyperlink ref="A7" r:id="rId1" display="www.exinfm.com"/>
    <hyperlink ref="B16" location="'5 - Use of Leverage'!A1" display="Use of Leverage"/>
    <hyperlink ref="B17" location="'6 - Optimal Capital Structure'!A1" display="Optimal Capital Structur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J68"/>
  <sheetViews>
    <sheetView workbookViewId="0" topLeftCell="A1">
      <selection activeCell="B67" sqref="B67"/>
    </sheetView>
  </sheetViews>
  <sheetFormatPr defaultColWidth="9.140625" defaultRowHeight="12.75"/>
  <cols>
    <col min="2" max="2" width="12.8515625" style="0" customWidth="1"/>
    <col min="3" max="3" width="36.8515625" style="0" customWidth="1"/>
    <col min="4" max="4" width="15.00390625" style="0" customWidth="1"/>
    <col min="5" max="5" width="11.140625" style="0" customWidth="1"/>
    <col min="6" max="6" width="13.8515625" style="0" customWidth="1"/>
  </cols>
  <sheetData>
    <row r="1" ht="18">
      <c r="C1" s="1" t="s">
        <v>0</v>
      </c>
    </row>
    <row r="2" ht="18">
      <c r="C2" s="1" t="s">
        <v>1</v>
      </c>
    </row>
    <row r="3" spans="1:7" ht="3.75" customHeight="1">
      <c r="A3" s="2"/>
      <c r="B3" s="2"/>
      <c r="C3" s="2"/>
      <c r="D3" s="2"/>
      <c r="E3" s="2"/>
      <c r="F3" s="2"/>
      <c r="G3" s="2"/>
    </row>
    <row r="4" spans="1:7" ht="12.75">
      <c r="A4" s="3" t="s">
        <v>2</v>
      </c>
      <c r="B4" s="3"/>
      <c r="C4" s="3"/>
      <c r="D4" s="3"/>
      <c r="E4" s="3"/>
      <c r="F4" s="3"/>
      <c r="G4" s="3"/>
    </row>
    <row r="5" spans="1:10" ht="15">
      <c r="A5" s="3" t="s">
        <v>44</v>
      </c>
      <c r="B5" s="3"/>
      <c r="C5" s="3"/>
      <c r="D5" s="3"/>
      <c r="E5" s="4"/>
      <c r="F5" s="3"/>
      <c r="G5" s="3"/>
      <c r="H5" s="3"/>
      <c r="I5" s="3"/>
      <c r="J5" s="3"/>
    </row>
    <row r="6" spans="1:10" ht="12.75">
      <c r="A6" s="3" t="s">
        <v>45</v>
      </c>
      <c r="B6" s="3"/>
      <c r="C6" s="3"/>
      <c r="D6" s="3"/>
      <c r="E6" s="3"/>
      <c r="F6" s="3"/>
      <c r="G6" s="3"/>
      <c r="H6" s="3"/>
      <c r="I6" s="3"/>
      <c r="J6" s="3"/>
    </row>
    <row r="8" ht="14.25">
      <c r="A8" s="38" t="s">
        <v>4</v>
      </c>
    </row>
    <row r="10" ht="12.75">
      <c r="B10" s="5" t="s">
        <v>7</v>
      </c>
    </row>
    <row r="11" spans="2:4" ht="12.75">
      <c r="B11" s="6" t="s">
        <v>8</v>
      </c>
      <c r="C11" s="6" t="s">
        <v>9</v>
      </c>
      <c r="D11" s="6" t="s">
        <v>10</v>
      </c>
    </row>
    <row r="13" spans="2:4" ht="12.75">
      <c r="B13" s="7">
        <v>39846</v>
      </c>
      <c r="C13" t="s">
        <v>12</v>
      </c>
      <c r="D13" s="8">
        <v>22500</v>
      </c>
    </row>
    <row r="14" spans="2:4" ht="12.75">
      <c r="B14" s="7">
        <v>39876</v>
      </c>
      <c r="C14" t="s">
        <v>12</v>
      </c>
      <c r="D14" s="8">
        <v>17300</v>
      </c>
    </row>
    <row r="15" spans="2:4" ht="12.75">
      <c r="B15" s="7">
        <v>39898</v>
      </c>
      <c r="C15" t="s">
        <v>12</v>
      </c>
      <c r="D15" s="8">
        <v>5750</v>
      </c>
    </row>
    <row r="16" spans="2:4" ht="12.75">
      <c r="B16" s="7">
        <v>39939</v>
      </c>
      <c r="C16" t="s">
        <v>12</v>
      </c>
      <c r="D16" s="8">
        <v>28300</v>
      </c>
    </row>
    <row r="17" spans="2:4" ht="12.75">
      <c r="B17" s="7">
        <v>39981</v>
      </c>
      <c r="C17" t="s">
        <v>12</v>
      </c>
      <c r="D17" s="8">
        <v>12400</v>
      </c>
    </row>
    <row r="18" spans="2:4" ht="12.75">
      <c r="B18" s="7">
        <v>40028</v>
      </c>
      <c r="C18" t="s">
        <v>12</v>
      </c>
      <c r="D18" s="8">
        <v>18100</v>
      </c>
    </row>
    <row r="19" spans="2:4" ht="12.75">
      <c r="B19" s="7">
        <v>40097</v>
      </c>
      <c r="C19" t="s">
        <v>12</v>
      </c>
      <c r="D19" s="8">
        <v>9950</v>
      </c>
    </row>
    <row r="20" spans="2:4" ht="12.75">
      <c r="B20" s="7">
        <v>40150</v>
      </c>
      <c r="C20" t="s">
        <v>12</v>
      </c>
      <c r="D20" s="8">
        <v>8600</v>
      </c>
    </row>
    <row r="21" ht="12.75">
      <c r="D21" s="8"/>
    </row>
    <row r="22" spans="3:4" ht="12.75">
      <c r="C22" s="9" t="s">
        <v>11</v>
      </c>
      <c r="D22" s="19">
        <f>SUM(D13:D21)</f>
        <v>122900</v>
      </c>
    </row>
    <row r="23" ht="12.75">
      <c r="D23" s="8"/>
    </row>
    <row r="24" ht="14.25">
      <c r="A24" s="38" t="s">
        <v>22</v>
      </c>
    </row>
    <row r="26" spans="3:5" ht="12.75">
      <c r="C26" t="s">
        <v>14</v>
      </c>
      <c r="E26" s="10">
        <v>0.08</v>
      </c>
    </row>
    <row r="28" spans="4:6" ht="12.75">
      <c r="D28" s="5" t="s">
        <v>15</v>
      </c>
      <c r="E28" s="5" t="s">
        <v>18</v>
      </c>
      <c r="F28" s="5" t="s">
        <v>17</v>
      </c>
    </row>
    <row r="29" spans="1:6" ht="12.75">
      <c r="A29" s="6" t="s">
        <v>21</v>
      </c>
      <c r="B29" s="6" t="s">
        <v>20</v>
      </c>
      <c r="D29" s="6" t="s">
        <v>16</v>
      </c>
      <c r="E29" s="6" t="s">
        <v>19</v>
      </c>
      <c r="F29" s="6" t="s">
        <v>16</v>
      </c>
    </row>
    <row r="30" spans="1:6" ht="12.75">
      <c r="A30" s="5">
        <v>1</v>
      </c>
      <c r="B30" s="5">
        <v>2010</v>
      </c>
      <c r="C30" t="s">
        <v>12</v>
      </c>
      <c r="D30" s="8">
        <f>$D$22</f>
        <v>122900</v>
      </c>
      <c r="E30" s="11">
        <f>(1+$E$26)^A30</f>
        <v>1.08</v>
      </c>
      <c r="F30" s="8">
        <f>D30*E30</f>
        <v>132732</v>
      </c>
    </row>
    <row r="31" spans="1:6" ht="12.75">
      <c r="A31" s="5">
        <v>2</v>
      </c>
      <c r="B31" s="5">
        <v>2011</v>
      </c>
      <c r="C31" t="s">
        <v>12</v>
      </c>
      <c r="D31" s="8">
        <f>$D$22</f>
        <v>122900</v>
      </c>
      <c r="E31" s="11">
        <f>(1+$E$26)^A31</f>
        <v>1.1664</v>
      </c>
      <c r="F31" s="8">
        <f>D31*E31</f>
        <v>143350.56000000003</v>
      </c>
    </row>
    <row r="32" spans="1:6" ht="12.75">
      <c r="A32" s="5">
        <v>3</v>
      </c>
      <c r="B32" s="5">
        <v>2012</v>
      </c>
      <c r="C32" t="s">
        <v>12</v>
      </c>
      <c r="D32" s="8">
        <f>$D$22</f>
        <v>122900</v>
      </c>
      <c r="E32" s="11">
        <f>(1+$E$26)^A32</f>
        <v>1.2597120000000002</v>
      </c>
      <c r="F32" s="8">
        <f>D32*E32</f>
        <v>154818.60480000003</v>
      </c>
    </row>
    <row r="33" spans="1:6" ht="12.75">
      <c r="A33" s="5">
        <v>4</v>
      </c>
      <c r="B33" s="5">
        <v>2013</v>
      </c>
      <c r="C33" t="s">
        <v>12</v>
      </c>
      <c r="D33" s="8">
        <f>$D$22</f>
        <v>122900</v>
      </c>
      <c r="E33" s="11">
        <f>(1+$E$26)^A33</f>
        <v>1.3604889600000003</v>
      </c>
      <c r="F33" s="8">
        <f>D33*E33</f>
        <v>167204.09318400003</v>
      </c>
    </row>
    <row r="34" spans="1:6" ht="12.75">
      <c r="A34" s="5">
        <v>5</v>
      </c>
      <c r="B34" s="5">
        <v>2014</v>
      </c>
      <c r="C34" t="s">
        <v>12</v>
      </c>
      <c r="D34" s="8">
        <f>$D$22</f>
        <v>122900</v>
      </c>
      <c r="E34" s="11">
        <f>(1+$E$26)^A34</f>
        <v>1.4693280768000003</v>
      </c>
      <c r="F34" s="8">
        <f>D34*E34</f>
        <v>180580.42063872004</v>
      </c>
    </row>
    <row r="36" spans="3:6" ht="12.75">
      <c r="C36" s="9" t="s">
        <v>13</v>
      </c>
      <c r="D36" s="19">
        <f>SUM(D30:D35)</f>
        <v>614500</v>
      </c>
      <c r="F36" s="19">
        <f>SUM(F30:F35)</f>
        <v>778685.6786227202</v>
      </c>
    </row>
    <row r="37" ht="12.75">
      <c r="B37" s="12" t="s">
        <v>23</v>
      </c>
    </row>
    <row r="38" ht="12.75">
      <c r="C38" s="12" t="s">
        <v>24</v>
      </c>
    </row>
    <row r="40" ht="14.25">
      <c r="A40" s="38" t="s">
        <v>27</v>
      </c>
    </row>
    <row r="41" ht="14.25">
      <c r="A41" s="38" t="s">
        <v>28</v>
      </c>
    </row>
    <row r="43" spans="3:4" ht="12.75">
      <c r="C43" t="s">
        <v>29</v>
      </c>
      <c r="D43" s="8">
        <v>100000</v>
      </c>
    </row>
    <row r="44" spans="3:4" ht="12.75">
      <c r="C44" t="s">
        <v>30</v>
      </c>
      <c r="D44" s="17">
        <f>1/((1+0.07)^5)</f>
        <v>0.7129861794836684</v>
      </c>
    </row>
    <row r="45" spans="3:4" ht="12.75">
      <c r="C45" s="9" t="s">
        <v>31</v>
      </c>
      <c r="D45" s="19">
        <f>D43*D44</f>
        <v>71298.61794836684</v>
      </c>
    </row>
    <row r="47" ht="14.25">
      <c r="A47" s="38" t="s">
        <v>32</v>
      </c>
    </row>
    <row r="48" ht="14.25">
      <c r="A48" s="38" t="s">
        <v>36</v>
      </c>
    </row>
    <row r="50" spans="3:4" ht="12.75">
      <c r="C50" t="s">
        <v>33</v>
      </c>
      <c r="D50" s="8">
        <v>10000</v>
      </c>
    </row>
    <row r="51" spans="3:4" ht="12.75">
      <c r="C51" t="s">
        <v>34</v>
      </c>
      <c r="D51" s="18">
        <f>(((1+0.06)^5-1))/0.06</f>
        <v>5.637092960000008</v>
      </c>
    </row>
    <row r="52" spans="3:4" ht="12.75">
      <c r="C52" s="9" t="s">
        <v>35</v>
      </c>
      <c r="D52" s="19">
        <f>D50*D51</f>
        <v>56370.92960000008</v>
      </c>
    </row>
    <row r="54" spans="3:4" ht="12.75">
      <c r="C54" t="s">
        <v>37</v>
      </c>
      <c r="D54" s="18"/>
    </row>
    <row r="55" spans="3:4" ht="12.75">
      <c r="C55" t="s">
        <v>38</v>
      </c>
      <c r="D55">
        <v>1.06</v>
      </c>
    </row>
    <row r="56" spans="3:4" ht="12.75">
      <c r="C56" t="s">
        <v>34</v>
      </c>
      <c r="D56" s="18">
        <f>D51*D55</f>
        <v>5.9753185376000095</v>
      </c>
    </row>
    <row r="57" spans="3:5" ht="12.75">
      <c r="C57" s="9" t="s">
        <v>35</v>
      </c>
      <c r="D57" s="19">
        <f>D50*D56</f>
        <v>59753.185376000096</v>
      </c>
      <c r="E57" s="20" t="s">
        <v>3</v>
      </c>
    </row>
    <row r="59" ht="14.25">
      <c r="A59" s="38" t="s">
        <v>39</v>
      </c>
    </row>
    <row r="60" ht="14.25">
      <c r="A60" s="38" t="s">
        <v>40</v>
      </c>
    </row>
    <row r="62" spans="3:4" ht="12.75">
      <c r="C62" t="s">
        <v>41</v>
      </c>
      <c r="D62" s="8">
        <v>6000</v>
      </c>
    </row>
    <row r="63" spans="3:4" ht="12.75">
      <c r="C63" t="s">
        <v>42</v>
      </c>
      <c r="D63" s="18">
        <f>(1-(1/(1+0.05)^10))/0.05</f>
        <v>7.721734929184813</v>
      </c>
    </row>
    <row r="64" spans="3:4" ht="12.75">
      <c r="C64" s="9" t="s">
        <v>43</v>
      </c>
      <c r="D64" s="19">
        <f>D62*D63</f>
        <v>46330.40957510888</v>
      </c>
    </row>
    <row r="66" spans="3:4" ht="12.75">
      <c r="C66" t="s">
        <v>37</v>
      </c>
      <c r="D66" s="18"/>
    </row>
    <row r="67" spans="3:4" ht="12.75">
      <c r="C67" t="s">
        <v>38</v>
      </c>
      <c r="D67">
        <v>1.05</v>
      </c>
    </row>
    <row r="68" spans="3:4" ht="12.75">
      <c r="C68" s="9" t="s">
        <v>31</v>
      </c>
      <c r="D68" s="19">
        <f>D64*D67</f>
        <v>48646.93005386433</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K65"/>
  <sheetViews>
    <sheetView workbookViewId="0" topLeftCell="A1">
      <selection activeCell="K1" sqref="K1"/>
    </sheetView>
  </sheetViews>
  <sheetFormatPr defaultColWidth="9.140625" defaultRowHeight="12.75"/>
  <cols>
    <col min="1" max="1" width="3.8515625" style="0" customWidth="1"/>
    <col min="2" max="2" width="11.421875" style="0" customWidth="1"/>
    <col min="3" max="3" width="12.140625" style="0" customWidth="1"/>
    <col min="4" max="4" width="10.7109375" style="0" customWidth="1"/>
    <col min="5" max="5" width="11.00390625" style="0" customWidth="1"/>
    <col min="6" max="6" width="9.57421875" style="0" customWidth="1"/>
    <col min="7" max="7" width="10.421875" style="0" customWidth="1"/>
  </cols>
  <sheetData>
    <row r="1" spans="3:11" ht="18">
      <c r="C1" s="1" t="s">
        <v>0</v>
      </c>
      <c r="K1" s="104" t="s">
        <v>517</v>
      </c>
    </row>
    <row r="2" ht="18">
      <c r="C2" s="1" t="s">
        <v>47</v>
      </c>
    </row>
    <row r="3" spans="1:10" ht="3.75" customHeight="1">
      <c r="A3" s="2"/>
      <c r="B3" s="2"/>
      <c r="C3" s="2"/>
      <c r="D3" s="2"/>
      <c r="E3" s="2"/>
      <c r="F3" s="2"/>
      <c r="G3" s="2"/>
      <c r="H3" s="2"/>
      <c r="I3" s="2"/>
      <c r="J3" s="2"/>
    </row>
    <row r="4" spans="1:7" ht="12.75">
      <c r="A4" s="3" t="s">
        <v>69</v>
      </c>
      <c r="B4" s="3"/>
      <c r="C4" s="3"/>
      <c r="D4" s="3"/>
      <c r="E4" s="3"/>
      <c r="F4" s="3"/>
      <c r="G4" s="3"/>
    </row>
    <row r="6" spans="1:3" ht="14.25">
      <c r="A6" s="38" t="s">
        <v>46</v>
      </c>
      <c r="B6" s="5"/>
      <c r="C6" s="5"/>
    </row>
    <row r="7" spans="1:3" ht="12.75">
      <c r="A7" s="6"/>
      <c r="B7" s="6"/>
      <c r="C7" s="6"/>
    </row>
    <row r="8" spans="1:5" ht="12.75">
      <c r="A8" s="14"/>
      <c r="B8" s="23" t="s">
        <v>48</v>
      </c>
      <c r="C8" s="21"/>
      <c r="D8" s="22"/>
      <c r="E8" s="24" t="s">
        <v>49</v>
      </c>
    </row>
    <row r="9" spans="1:3" ht="9.75" customHeight="1">
      <c r="A9" s="5"/>
      <c r="B9" s="8"/>
      <c r="C9" s="8"/>
    </row>
    <row r="10" spans="1:7" ht="12.75">
      <c r="A10" s="5"/>
      <c r="B10" s="8" t="s">
        <v>50</v>
      </c>
      <c r="C10" s="8"/>
      <c r="E10" s="10">
        <v>0.5</v>
      </c>
      <c r="G10" s="3" t="s">
        <v>64</v>
      </c>
    </row>
    <row r="11" spans="1:5" ht="12.75">
      <c r="A11" s="5"/>
      <c r="B11" s="15" t="s">
        <v>51</v>
      </c>
      <c r="C11" s="8"/>
      <c r="E11" s="10">
        <v>0.35</v>
      </c>
    </row>
    <row r="12" spans="1:5" ht="12.75">
      <c r="A12" s="5"/>
      <c r="B12" s="8" t="s">
        <v>52</v>
      </c>
      <c r="C12" s="8"/>
      <c r="E12" s="25">
        <v>0.15</v>
      </c>
    </row>
    <row r="13" spans="1:5" ht="12.75">
      <c r="A13" s="5"/>
      <c r="B13" s="16"/>
      <c r="C13" s="8"/>
      <c r="D13" t="s">
        <v>53</v>
      </c>
      <c r="E13" s="10">
        <f>SUM(E10:E12)</f>
        <v>1</v>
      </c>
    </row>
    <row r="14" ht="12.75">
      <c r="B14" s="8"/>
    </row>
    <row r="15" ht="14.25">
      <c r="A15" s="38" t="s">
        <v>70</v>
      </c>
    </row>
    <row r="17" ht="12.75">
      <c r="G17" s="27" t="s">
        <v>55</v>
      </c>
    </row>
    <row r="18" spans="2:7" ht="12.75">
      <c r="B18" s="23" t="s">
        <v>48</v>
      </c>
      <c r="C18" s="21"/>
      <c r="D18" s="22"/>
      <c r="E18" s="24" t="s">
        <v>49</v>
      </c>
      <c r="F18" s="24" t="s">
        <v>54</v>
      </c>
      <c r="G18" s="24" t="s">
        <v>16</v>
      </c>
    </row>
    <row r="19" spans="2:9" ht="12.75">
      <c r="B19" s="8"/>
      <c r="C19" s="8"/>
      <c r="I19" s="3" t="s">
        <v>65</v>
      </c>
    </row>
    <row r="20" spans="2:9" ht="12.75">
      <c r="B20" s="8" t="s">
        <v>50</v>
      </c>
      <c r="C20" s="8"/>
      <c r="E20" s="10">
        <v>0.5</v>
      </c>
      <c r="F20" s="10">
        <v>0.025</v>
      </c>
      <c r="G20" s="10">
        <f>E20*F20</f>
        <v>0.0125</v>
      </c>
      <c r="I20" s="3" t="s">
        <v>66</v>
      </c>
    </row>
    <row r="21" spans="2:7" ht="12.75">
      <c r="B21" s="15" t="s">
        <v>51</v>
      </c>
      <c r="C21" s="8"/>
      <c r="E21" s="10">
        <v>0.35</v>
      </c>
      <c r="F21" s="10">
        <v>0.052</v>
      </c>
      <c r="G21" s="10">
        <f>E21*F21</f>
        <v>0.018199999999999997</v>
      </c>
    </row>
    <row r="22" spans="2:7" ht="12.75">
      <c r="B22" s="8" t="s">
        <v>52</v>
      </c>
      <c r="C22" s="8"/>
      <c r="E22" s="26">
        <v>0.15</v>
      </c>
      <c r="F22" s="10">
        <v>0.078</v>
      </c>
      <c r="G22" s="25">
        <f>E22*F22</f>
        <v>0.0117</v>
      </c>
    </row>
    <row r="23" spans="5:7" ht="12.75">
      <c r="E23" s="9" t="s">
        <v>56</v>
      </c>
      <c r="F23" s="9"/>
      <c r="G23" s="28">
        <f>SUM(G20:G22)</f>
        <v>0.0424</v>
      </c>
    </row>
    <row r="25" ht="14.25">
      <c r="A25" s="38" t="s">
        <v>57</v>
      </c>
    </row>
    <row r="26" ht="14.25">
      <c r="A26" s="38" t="s">
        <v>58</v>
      </c>
    </row>
    <row r="28" spans="2:7" ht="12.75">
      <c r="B28" s="27" t="s">
        <v>3</v>
      </c>
      <c r="C28" s="27" t="s">
        <v>55</v>
      </c>
      <c r="D28" s="22"/>
      <c r="E28" s="22"/>
      <c r="F28" s="22"/>
      <c r="G28" s="22"/>
    </row>
    <row r="29" spans="2:7" ht="12.75">
      <c r="B29" s="24" t="s">
        <v>54</v>
      </c>
      <c r="C29" s="24" t="s">
        <v>54</v>
      </c>
      <c r="D29" s="24" t="s">
        <v>59</v>
      </c>
      <c r="E29" s="24" t="s">
        <v>60</v>
      </c>
      <c r="F29" s="24" t="s">
        <v>49</v>
      </c>
      <c r="G29" s="24" t="s">
        <v>61</v>
      </c>
    </row>
    <row r="31" spans="2:7" ht="12.75">
      <c r="B31" s="10">
        <f>F20</f>
        <v>0.025</v>
      </c>
      <c r="C31" s="10">
        <f>$G$23</f>
        <v>0.0424</v>
      </c>
      <c r="D31" s="10">
        <f>B31-C31</f>
        <v>-0.0174</v>
      </c>
      <c r="E31" s="30">
        <f>D31^2</f>
        <v>0.00030275999999999995</v>
      </c>
      <c r="F31" s="10">
        <v>0.5</v>
      </c>
      <c r="G31" s="29">
        <f>E31*F31</f>
        <v>0.00015137999999999998</v>
      </c>
    </row>
    <row r="32" spans="2:9" ht="12.75">
      <c r="B32" s="10">
        <f>F21</f>
        <v>0.052</v>
      </c>
      <c r="C32" s="10">
        <f>$G$23</f>
        <v>0.0424</v>
      </c>
      <c r="D32" s="10">
        <f>B32-C32</f>
        <v>0.009599999999999997</v>
      </c>
      <c r="E32" s="30">
        <f>D32^2</f>
        <v>9.215999999999994E-05</v>
      </c>
      <c r="F32" s="10">
        <v>0.35</v>
      </c>
      <c r="G32" s="29">
        <f>E32*F32</f>
        <v>3.225599999999998E-05</v>
      </c>
      <c r="I32" s="3" t="s">
        <v>67</v>
      </c>
    </row>
    <row r="33" spans="2:9" ht="12.75">
      <c r="B33" s="10">
        <f>F22</f>
        <v>0.078</v>
      </c>
      <c r="C33" s="10">
        <f>$G$23</f>
        <v>0.0424</v>
      </c>
      <c r="D33" s="10">
        <f>B33-C33</f>
        <v>0.0356</v>
      </c>
      <c r="E33" s="30">
        <f>D33^2</f>
        <v>0.00126736</v>
      </c>
      <c r="F33" s="26">
        <v>0.15</v>
      </c>
      <c r="G33" s="31">
        <f>E33*F33</f>
        <v>0.000190104</v>
      </c>
      <c r="I33" s="3" t="s">
        <v>68</v>
      </c>
    </row>
    <row r="34" spans="5:7" ht="12.75">
      <c r="E34" s="32" t="s">
        <v>63</v>
      </c>
      <c r="F34" s="32"/>
      <c r="G34" s="33">
        <f>SUM(G31:G33)</f>
        <v>0.00037373999999999996</v>
      </c>
    </row>
    <row r="35" spans="5:7" ht="12.75">
      <c r="E35" s="9" t="s">
        <v>62</v>
      </c>
      <c r="F35" s="9"/>
      <c r="G35" s="28">
        <f>SQRT(G34)</f>
        <v>0.019332356297151156</v>
      </c>
    </row>
    <row r="36" spans="4:7" ht="12.75">
      <c r="D36" t="s">
        <v>3</v>
      </c>
      <c r="G36" t="s">
        <v>3</v>
      </c>
    </row>
    <row r="37" ht="14.25">
      <c r="A37" s="38" t="s">
        <v>71</v>
      </c>
    </row>
    <row r="38" ht="14.25">
      <c r="A38" s="38" t="s">
        <v>72</v>
      </c>
    </row>
    <row r="40" spans="4:5" ht="12.75">
      <c r="D40" s="5" t="s">
        <v>77</v>
      </c>
      <c r="E40" s="5" t="s">
        <v>79</v>
      </c>
    </row>
    <row r="41" spans="2:5" ht="12.75">
      <c r="B41" s="34" t="s">
        <v>78</v>
      </c>
      <c r="D41" s="6" t="s">
        <v>61</v>
      </c>
      <c r="E41" s="6" t="s">
        <v>54</v>
      </c>
    </row>
    <row r="42" spans="2:7" ht="12.75">
      <c r="B42" t="s">
        <v>73</v>
      </c>
      <c r="D42" s="10">
        <f>G35</f>
        <v>0.019332356297151156</v>
      </c>
      <c r="E42" s="10">
        <v>0.0424</v>
      </c>
      <c r="G42" s="3" t="s">
        <v>80</v>
      </c>
    </row>
    <row r="43" spans="2:7" ht="12.75">
      <c r="B43" t="s">
        <v>74</v>
      </c>
      <c r="D43" s="10">
        <v>0.026</v>
      </c>
      <c r="E43" s="10">
        <v>0.061</v>
      </c>
      <c r="G43" s="3" t="s">
        <v>81</v>
      </c>
    </row>
    <row r="44" spans="2:7" ht="12.75">
      <c r="B44" t="s">
        <v>75</v>
      </c>
      <c r="D44" s="10">
        <v>0.044</v>
      </c>
      <c r="E44" s="10">
        <v>0.115</v>
      </c>
      <c r="G44" s="3" t="s">
        <v>82</v>
      </c>
    </row>
    <row r="45" spans="2:5" ht="12.75">
      <c r="B45" t="s">
        <v>76</v>
      </c>
      <c r="D45" s="10">
        <v>0.034</v>
      </c>
      <c r="E45" s="10">
        <v>0.078</v>
      </c>
    </row>
    <row r="46" ht="12.75">
      <c r="E46" s="10" t="s">
        <v>3</v>
      </c>
    </row>
    <row r="47" ht="14.25">
      <c r="A47" s="38" t="s">
        <v>83</v>
      </c>
    </row>
    <row r="48" ht="14.25">
      <c r="A48" s="38" t="s">
        <v>84</v>
      </c>
    </row>
    <row r="50" spans="2:6" ht="12.75">
      <c r="B50" t="s">
        <v>62</v>
      </c>
      <c r="E50" s="10">
        <f>G35</f>
        <v>0.019332356297151156</v>
      </c>
      <c r="F50" s="3" t="s">
        <v>88</v>
      </c>
    </row>
    <row r="51" spans="2:6" ht="12.75">
      <c r="B51" t="s">
        <v>85</v>
      </c>
      <c r="E51" s="10">
        <f>G23</f>
        <v>0.0424</v>
      </c>
      <c r="F51" s="3"/>
    </row>
    <row r="52" spans="2:6" ht="12.75">
      <c r="B52" t="s">
        <v>86</v>
      </c>
      <c r="E52" s="11">
        <f>E50/E51</f>
        <v>0.4559517994611122</v>
      </c>
      <c r="F52" s="3" t="s">
        <v>87</v>
      </c>
    </row>
    <row r="54" ht="14.25">
      <c r="A54" s="38" t="s">
        <v>89</v>
      </c>
    </row>
    <row r="56" spans="2:8" ht="12.75">
      <c r="B56" t="s">
        <v>90</v>
      </c>
      <c r="G56" s="10">
        <v>0.015</v>
      </c>
      <c r="H56" s="3" t="s">
        <v>94</v>
      </c>
    </row>
    <row r="57" spans="2:7" ht="12.75">
      <c r="B57" t="s">
        <v>95</v>
      </c>
      <c r="G57" s="25">
        <v>0.028</v>
      </c>
    </row>
    <row r="58" spans="3:7" ht="12.75">
      <c r="C58" t="s">
        <v>91</v>
      </c>
      <c r="G58" s="10">
        <f>SUM(G56:G57)</f>
        <v>0.043</v>
      </c>
    </row>
    <row r="59" spans="2:7" ht="12.75">
      <c r="B59" t="s">
        <v>92</v>
      </c>
      <c r="G59" s="10"/>
    </row>
    <row r="60" spans="3:7" ht="12.75">
      <c r="C60" t="s">
        <v>93</v>
      </c>
      <c r="G60" s="10">
        <v>0.036</v>
      </c>
    </row>
    <row r="61" spans="3:7" ht="12.75">
      <c r="C61" t="s">
        <v>97</v>
      </c>
      <c r="G61" s="10">
        <v>0.049</v>
      </c>
    </row>
    <row r="62" spans="3:7" ht="12.75">
      <c r="C62" t="s">
        <v>98</v>
      </c>
      <c r="G62" s="10">
        <v>0.024</v>
      </c>
    </row>
    <row r="63" spans="3:7" ht="12.75">
      <c r="C63" s="9" t="s">
        <v>96</v>
      </c>
      <c r="D63" s="9"/>
      <c r="E63" s="9"/>
      <c r="F63" s="9"/>
      <c r="G63" s="28">
        <f>SUM(G58:G62)</f>
        <v>0.152</v>
      </c>
    </row>
    <row r="64" ht="12.75">
      <c r="G64" s="10"/>
    </row>
    <row r="65" ht="12.75">
      <c r="G65" s="10"/>
    </row>
  </sheetData>
  <hyperlinks>
    <hyperlink ref="K1" location="'Main Menu'!A1" display="Main Menu"/>
  </hyperlink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M161"/>
  <sheetViews>
    <sheetView workbookViewId="0" topLeftCell="A85">
      <selection activeCell="K1" sqref="K1"/>
    </sheetView>
  </sheetViews>
  <sheetFormatPr defaultColWidth="9.140625" defaultRowHeight="12.75"/>
  <cols>
    <col min="1" max="1" width="6.00390625" style="0" customWidth="1"/>
    <col min="4" max="4" width="10.28125" style="0" customWidth="1"/>
    <col min="10" max="10" width="12.7109375" style="0" customWidth="1"/>
  </cols>
  <sheetData>
    <row r="1" spans="3:11" ht="18">
      <c r="C1" s="1" t="s">
        <v>0</v>
      </c>
      <c r="K1" s="104" t="s">
        <v>517</v>
      </c>
    </row>
    <row r="2" ht="18">
      <c r="C2" s="1" t="s">
        <v>99</v>
      </c>
    </row>
    <row r="3" spans="1:10" ht="3" customHeight="1">
      <c r="A3" s="2"/>
      <c r="B3" s="2"/>
      <c r="C3" s="2"/>
      <c r="D3" s="2"/>
      <c r="E3" s="2"/>
      <c r="F3" s="2"/>
      <c r="G3" s="2"/>
      <c r="H3" s="2"/>
      <c r="I3" s="2"/>
      <c r="J3" s="2"/>
    </row>
    <row r="4" spans="1:7" ht="12.75">
      <c r="A4" s="3" t="s">
        <v>100</v>
      </c>
      <c r="B4" s="3"/>
      <c r="C4" s="3"/>
      <c r="D4" s="3"/>
      <c r="E4" s="3"/>
      <c r="F4" s="3"/>
      <c r="G4" s="3"/>
    </row>
    <row r="5" ht="12.75">
      <c r="A5" s="3" t="s">
        <v>101</v>
      </c>
    </row>
    <row r="7" ht="14.25">
      <c r="A7" s="39" t="s">
        <v>107</v>
      </c>
    </row>
    <row r="9" ht="12.75">
      <c r="A9" t="s">
        <v>102</v>
      </c>
    </row>
    <row r="11" ht="12.75">
      <c r="A11" t="s">
        <v>103</v>
      </c>
    </row>
    <row r="13" ht="12.75">
      <c r="B13" t="s">
        <v>104</v>
      </c>
    </row>
    <row r="15" ht="12.75">
      <c r="B15" t="s">
        <v>106</v>
      </c>
    </row>
    <row r="17" ht="12.75">
      <c r="A17" t="s">
        <v>105</v>
      </c>
    </row>
    <row r="20" ht="14.25">
      <c r="A20" s="39" t="s">
        <v>108</v>
      </c>
    </row>
    <row r="22" spans="4:5" ht="12.75">
      <c r="D22" s="5" t="s">
        <v>116</v>
      </c>
      <c r="E22" s="5" t="s">
        <v>118</v>
      </c>
    </row>
    <row r="23" spans="1:5" ht="12.75">
      <c r="A23" t="s">
        <v>109</v>
      </c>
      <c r="C23" t="s">
        <v>3</v>
      </c>
      <c r="D23" s="6" t="s">
        <v>117</v>
      </c>
      <c r="E23" s="6" t="s">
        <v>117</v>
      </c>
    </row>
    <row r="25" spans="2:5" ht="12.75">
      <c r="B25" t="s">
        <v>110</v>
      </c>
      <c r="D25" s="35">
        <v>35</v>
      </c>
      <c r="E25" s="35">
        <v>35</v>
      </c>
    </row>
    <row r="26" spans="2:5" ht="12.75">
      <c r="B26" t="s">
        <v>111</v>
      </c>
      <c r="D26" s="35">
        <v>120</v>
      </c>
      <c r="E26" s="35">
        <v>120</v>
      </c>
    </row>
    <row r="27" spans="2:5" ht="12.75">
      <c r="B27" t="s">
        <v>112</v>
      </c>
      <c r="D27" s="35">
        <v>140</v>
      </c>
      <c r="E27" s="35">
        <v>100</v>
      </c>
    </row>
    <row r="29" spans="2:5" ht="12.75">
      <c r="B29" t="s">
        <v>114</v>
      </c>
      <c r="D29" s="35">
        <f>D27-D26</f>
        <v>20</v>
      </c>
      <c r="E29" s="35">
        <f>E27-E26+IF((E26-E27)&gt;0,(E26-E27),0)</f>
        <v>0</v>
      </c>
    </row>
    <row r="30" spans="2:5" ht="12.75">
      <c r="B30" t="s">
        <v>115</v>
      </c>
      <c r="D30" s="36">
        <f>D25-D29</f>
        <v>15</v>
      </c>
      <c r="E30" s="36">
        <f>E25-E29</f>
        <v>35</v>
      </c>
    </row>
    <row r="31" spans="2:5" ht="12.75">
      <c r="B31" t="s">
        <v>119</v>
      </c>
      <c r="D31" s="35">
        <f>SUM(D29:D30)</f>
        <v>35</v>
      </c>
      <c r="E31" s="35">
        <f>SUM(E29:E30)</f>
        <v>35</v>
      </c>
    </row>
    <row r="33" ht="12.75">
      <c r="A33" t="s">
        <v>113</v>
      </c>
    </row>
    <row r="35" spans="2:5" ht="12.75">
      <c r="B35" t="s">
        <v>110</v>
      </c>
      <c r="D35" s="35">
        <v>35</v>
      </c>
      <c r="E35" s="35">
        <v>35</v>
      </c>
    </row>
    <row r="36" spans="2:5" ht="12.75">
      <c r="B36" t="s">
        <v>111</v>
      </c>
      <c r="D36" s="35">
        <v>120</v>
      </c>
      <c r="E36" s="35">
        <v>120</v>
      </c>
    </row>
    <row r="37" spans="2:5" ht="12.75">
      <c r="B37" t="s">
        <v>112</v>
      </c>
      <c r="D37" s="35">
        <v>100</v>
      </c>
      <c r="E37" s="35">
        <v>140</v>
      </c>
    </row>
    <row r="39" spans="2:5" ht="12.75">
      <c r="B39" t="s">
        <v>114</v>
      </c>
      <c r="D39" s="35">
        <f>D36-D37</f>
        <v>20</v>
      </c>
      <c r="E39" s="35">
        <f>E36-E37+IF((E37-E36)&gt;0,(E37-E36),0)</f>
        <v>0</v>
      </c>
    </row>
    <row r="40" spans="2:5" ht="12.75">
      <c r="B40" t="s">
        <v>115</v>
      </c>
      <c r="D40" s="36">
        <f>D35-D39</f>
        <v>15</v>
      </c>
      <c r="E40" s="36">
        <f>E35-E39</f>
        <v>35</v>
      </c>
    </row>
    <row r="41" spans="2:10" ht="12.75">
      <c r="B41" t="s">
        <v>119</v>
      </c>
      <c r="D41" s="35">
        <f>SUM(D39:D40)</f>
        <v>35</v>
      </c>
      <c r="E41" s="35">
        <f>SUM(E39:E40)</f>
        <v>35</v>
      </c>
      <c r="J41" s="32"/>
    </row>
    <row r="42" ht="12.75">
      <c r="J42" s="32"/>
    </row>
    <row r="43" spans="1:10" ht="14.25">
      <c r="A43" s="39" t="s">
        <v>120</v>
      </c>
      <c r="J43" s="32"/>
    </row>
    <row r="44" spans="1:10" ht="14.25">
      <c r="A44" s="39"/>
      <c r="J44" s="32"/>
    </row>
    <row r="45" spans="1:10" ht="14.25">
      <c r="A45" s="39"/>
      <c r="B45" s="9" t="s">
        <v>144</v>
      </c>
      <c r="J45" s="32"/>
    </row>
    <row r="46" spans="1:10" ht="14.25">
      <c r="A46" s="39"/>
      <c r="J46" s="32"/>
    </row>
    <row r="47" spans="1:10" ht="15.75">
      <c r="A47" s="39"/>
      <c r="B47" s="32" t="s">
        <v>146</v>
      </c>
      <c r="J47" s="32"/>
    </row>
    <row r="48" spans="1:10" ht="14.25">
      <c r="A48" s="39"/>
      <c r="B48" s="32" t="s">
        <v>128</v>
      </c>
      <c r="J48" s="32"/>
    </row>
    <row r="49" spans="1:10" ht="15.75">
      <c r="A49" s="39"/>
      <c r="B49" s="32" t="s">
        <v>147</v>
      </c>
      <c r="J49" s="32"/>
    </row>
    <row r="50" spans="1:10" ht="14.25">
      <c r="A50" s="39"/>
      <c r="B50" s="32" t="s">
        <v>129</v>
      </c>
      <c r="J50" s="32"/>
    </row>
    <row r="51" spans="1:10" ht="15.75">
      <c r="A51" s="39"/>
      <c r="B51" s="32" t="s">
        <v>148</v>
      </c>
      <c r="J51" s="32"/>
    </row>
    <row r="52" spans="1:10" ht="14.25">
      <c r="A52" s="39"/>
      <c r="J52" s="32"/>
    </row>
    <row r="53" spans="1:10" ht="14.25">
      <c r="A53" s="39"/>
      <c r="B53" s="9" t="s">
        <v>145</v>
      </c>
      <c r="J53" s="32"/>
    </row>
    <row r="54" spans="1:10" ht="14.25">
      <c r="A54" s="39"/>
      <c r="J54" s="32"/>
    </row>
    <row r="55" spans="1:10" ht="15.75">
      <c r="A55" s="39"/>
      <c r="B55" s="32" t="s">
        <v>149</v>
      </c>
      <c r="J55" s="32"/>
    </row>
    <row r="56" spans="1:10" ht="15.75">
      <c r="A56" s="39"/>
      <c r="B56" s="32" t="s">
        <v>150</v>
      </c>
      <c r="J56" s="32"/>
    </row>
    <row r="57" spans="1:10" ht="14.25">
      <c r="A57" s="39"/>
      <c r="B57" s="32" t="s">
        <v>130</v>
      </c>
      <c r="J57" s="32"/>
    </row>
    <row r="58" spans="1:10" ht="14.25">
      <c r="A58" s="39"/>
      <c r="B58" s="32" t="s">
        <v>131</v>
      </c>
      <c r="J58" s="32"/>
    </row>
    <row r="59" spans="1:10" ht="14.25">
      <c r="A59" s="39"/>
      <c r="B59" s="32" t="s">
        <v>132</v>
      </c>
      <c r="J59" s="32"/>
    </row>
    <row r="60" spans="1:10" ht="14.25">
      <c r="A60" s="39"/>
      <c r="B60" s="32" t="s">
        <v>133</v>
      </c>
      <c r="J60" s="32"/>
    </row>
    <row r="61" spans="1:10" ht="14.25">
      <c r="A61" s="39"/>
      <c r="B61" s="32" t="s">
        <v>134</v>
      </c>
      <c r="J61" s="32"/>
    </row>
    <row r="62" spans="1:10" ht="14.25">
      <c r="A62" s="39"/>
      <c r="B62" s="32" t="s">
        <v>135</v>
      </c>
      <c r="J62" s="32"/>
    </row>
    <row r="63" spans="1:10" ht="14.25">
      <c r="A63" s="39"/>
      <c r="B63" s="32" t="s">
        <v>136</v>
      </c>
      <c r="J63" s="32"/>
    </row>
    <row r="64" spans="1:10" ht="14.25">
      <c r="A64" s="39"/>
      <c r="J64" s="32"/>
    </row>
    <row r="65" spans="1:10" ht="14.25">
      <c r="A65" s="39"/>
      <c r="B65" s="9" t="s">
        <v>151</v>
      </c>
      <c r="J65" s="32"/>
    </row>
    <row r="67" spans="2:10" ht="12.75">
      <c r="B67" s="34" t="s">
        <v>123</v>
      </c>
      <c r="J67" s="32"/>
    </row>
    <row r="68" spans="2:10" ht="12.75">
      <c r="B68" t="s">
        <v>122</v>
      </c>
      <c r="E68" s="20">
        <v>102.5</v>
      </c>
      <c r="F68" s="42"/>
      <c r="J68" s="32"/>
    </row>
    <row r="69" spans="2:10" ht="12.75">
      <c r="B69" t="s">
        <v>126</v>
      </c>
      <c r="E69" s="20">
        <v>100</v>
      </c>
      <c r="F69" s="42"/>
      <c r="J69" s="32"/>
    </row>
    <row r="70" spans="2:6" ht="12.75">
      <c r="B70" t="s">
        <v>125</v>
      </c>
      <c r="E70" s="10">
        <v>0.0547</v>
      </c>
      <c r="F70" s="42"/>
    </row>
    <row r="71" spans="2:6" ht="12.75">
      <c r="B71" t="s">
        <v>127</v>
      </c>
      <c r="E71" s="17">
        <v>0.3556</v>
      </c>
      <c r="F71" s="42"/>
    </row>
    <row r="72" spans="2:10" ht="12.75">
      <c r="B72" t="s">
        <v>62</v>
      </c>
      <c r="E72" s="10">
        <v>0.8607</v>
      </c>
      <c r="F72" s="42"/>
      <c r="J72" s="32"/>
    </row>
    <row r="73" ht="12.75">
      <c r="J73" s="32"/>
    </row>
    <row r="74" spans="2:10" ht="12.75">
      <c r="B74" s="34" t="s">
        <v>124</v>
      </c>
      <c r="J74" s="32"/>
    </row>
    <row r="75" ht="12.75">
      <c r="J75" s="37"/>
    </row>
    <row r="76" spans="2:10" ht="12.75">
      <c r="B76" t="s">
        <v>152</v>
      </c>
      <c r="E76">
        <f>(LN(E68/E69)+(E70+E72^2/2)*E71)/(E72*SQRT(E71))</f>
        <v>0.3426350981864237</v>
      </c>
      <c r="F76" s="9"/>
      <c r="J76" s="32"/>
    </row>
    <row r="77" spans="2:10" ht="12.75">
      <c r="B77" t="s">
        <v>153</v>
      </c>
      <c r="E77">
        <f>E76-E72*SQRT(E71)</f>
        <v>-0.1706192994021406</v>
      </c>
      <c r="F77" s="9"/>
      <c r="J77" s="32"/>
    </row>
    <row r="78" spans="2:10" ht="12.75">
      <c r="B78" t="s">
        <v>154</v>
      </c>
      <c r="E78">
        <f>NORMSDIST(E76)</f>
        <v>0.634063502935399</v>
      </c>
      <c r="F78" s="9"/>
      <c r="J78" s="32"/>
    </row>
    <row r="79" spans="2:6" ht="12.75">
      <c r="B79" t="s">
        <v>155</v>
      </c>
      <c r="E79">
        <f>NORMSDIST(E77)</f>
        <v>0.4322615608584238</v>
      </c>
      <c r="F79" s="9"/>
    </row>
    <row r="80" spans="3:5" ht="12.75">
      <c r="C80" s="9" t="s">
        <v>156</v>
      </c>
      <c r="D80" s="9"/>
      <c r="E80" s="43">
        <f>$E$68*E78-$E$69*EXP(-$E$70*$E$71)*E79</f>
        <v>22.59803413167173</v>
      </c>
    </row>
    <row r="82" ht="12.75">
      <c r="B82" s="34" t="s">
        <v>157</v>
      </c>
    </row>
    <row r="84" spans="2:5" ht="12.75">
      <c r="B84" t="s">
        <v>152</v>
      </c>
      <c r="E84">
        <f>-E76</f>
        <v>-0.3426350981864237</v>
      </c>
    </row>
    <row r="85" spans="2:5" ht="12.75">
      <c r="B85" t="s">
        <v>153</v>
      </c>
      <c r="E85">
        <f>-E77</f>
        <v>0.1706192994021406</v>
      </c>
    </row>
    <row r="86" spans="2:5" ht="12.75">
      <c r="B86" t="s">
        <v>154</v>
      </c>
      <c r="E86">
        <f>NORMSDIST(E84)</f>
        <v>0.36593649706460096</v>
      </c>
    </row>
    <row r="87" spans="2:5" ht="12.75">
      <c r="B87" t="s">
        <v>155</v>
      </c>
      <c r="E87">
        <f>NORMSDIST(E85)</f>
        <v>0.5677384391415762</v>
      </c>
    </row>
    <row r="88" spans="3:5" ht="12.75">
      <c r="C88" s="9" t="s">
        <v>158</v>
      </c>
      <c r="E88" s="43">
        <f>ABS(E68*E86-E69*EXP(-E70*E71)*E87)</f>
        <v>18.171697760281006</v>
      </c>
    </row>
    <row r="90" ht="12.75">
      <c r="B90" s="34" t="s">
        <v>390</v>
      </c>
    </row>
    <row r="92" ht="12.75">
      <c r="B92" t="s">
        <v>159</v>
      </c>
    </row>
    <row r="94" ht="12.75">
      <c r="C94" s="75" t="s">
        <v>137</v>
      </c>
    </row>
    <row r="95" ht="12.75">
      <c r="C95" s="75" t="s">
        <v>138</v>
      </c>
    </row>
    <row r="96" ht="12.75">
      <c r="C96" s="75" t="s">
        <v>139</v>
      </c>
    </row>
    <row r="97" ht="12.75">
      <c r="C97" s="75" t="s">
        <v>140</v>
      </c>
    </row>
    <row r="98" spans="1:3" ht="15">
      <c r="A98" s="41"/>
      <c r="B98" s="40"/>
      <c r="C98" s="75" t="s">
        <v>141</v>
      </c>
    </row>
    <row r="99" spans="1:3" ht="15">
      <c r="A99" s="41"/>
      <c r="B99" s="40"/>
      <c r="C99" s="75" t="s">
        <v>142</v>
      </c>
    </row>
    <row r="100" spans="1:3" ht="15.75">
      <c r="A100" s="41"/>
      <c r="B100" s="40"/>
      <c r="C100" s="44"/>
    </row>
    <row r="101" spans="1:3" ht="15.75">
      <c r="A101" s="41"/>
      <c r="B101" s="3" t="s">
        <v>164</v>
      </c>
      <c r="C101" s="44"/>
    </row>
    <row r="102" spans="1:13" ht="12.75">
      <c r="A102" s="32"/>
      <c r="B102" s="32"/>
      <c r="C102" s="32"/>
      <c r="D102" s="32"/>
      <c r="E102" s="32"/>
      <c r="F102" s="32"/>
      <c r="G102" s="32"/>
      <c r="H102" s="32"/>
      <c r="I102" s="32"/>
      <c r="J102" s="32"/>
      <c r="K102" s="32"/>
      <c r="L102" s="32"/>
      <c r="M102" s="32"/>
    </row>
    <row r="103" spans="1:13" ht="12.75">
      <c r="A103" s="32"/>
      <c r="B103" s="32" t="s">
        <v>165</v>
      </c>
      <c r="C103" s="32"/>
      <c r="D103" s="32"/>
      <c r="E103" s="32"/>
      <c r="F103" s="32"/>
      <c r="G103" s="32"/>
      <c r="H103" s="32"/>
      <c r="I103" s="32"/>
      <c r="J103" s="32"/>
      <c r="K103" s="32"/>
      <c r="L103" s="32"/>
      <c r="M103" s="32"/>
    </row>
    <row r="104" spans="1:13" ht="12.75">
      <c r="A104" s="32"/>
      <c r="B104" s="32"/>
      <c r="C104" s="32"/>
      <c r="D104" s="32"/>
      <c r="E104" s="32"/>
      <c r="F104" s="32"/>
      <c r="G104" s="32"/>
      <c r="H104" s="32"/>
      <c r="I104" s="32"/>
      <c r="J104" s="32"/>
      <c r="K104" s="32"/>
      <c r="L104" s="32"/>
      <c r="M104" s="32"/>
    </row>
    <row r="105" spans="1:13" ht="12.75">
      <c r="A105" s="32"/>
      <c r="B105" s="32" t="s">
        <v>160</v>
      </c>
      <c r="C105" s="32"/>
      <c r="D105" s="32"/>
      <c r="E105" s="45">
        <f>E68</f>
        <v>102.5</v>
      </c>
      <c r="F105" s="32"/>
      <c r="G105" s="32"/>
      <c r="H105" s="32"/>
      <c r="I105" s="32"/>
      <c r="J105" s="32"/>
      <c r="K105" s="32"/>
      <c r="L105" s="32"/>
      <c r="M105" s="32"/>
    </row>
    <row r="106" spans="1:13" ht="12.75">
      <c r="A106" s="32"/>
      <c r="B106" s="32" t="s">
        <v>161</v>
      </c>
      <c r="C106" s="32"/>
      <c r="D106" s="32"/>
      <c r="E106" s="45">
        <f>E69</f>
        <v>100</v>
      </c>
      <c r="F106" s="32"/>
      <c r="G106" s="32"/>
      <c r="H106" s="32"/>
      <c r="I106" s="32"/>
      <c r="J106" s="32"/>
      <c r="K106" s="32"/>
      <c r="L106" s="32"/>
      <c r="M106" s="32"/>
    </row>
    <row r="107" spans="1:13" ht="12.75">
      <c r="A107" s="32"/>
      <c r="B107" s="32" t="s">
        <v>125</v>
      </c>
      <c r="C107" s="32"/>
      <c r="D107" s="32"/>
      <c r="E107" s="46">
        <f>E70</f>
        <v>0.0547</v>
      </c>
      <c r="F107" s="32"/>
      <c r="G107" s="32"/>
      <c r="H107" s="32"/>
      <c r="I107" s="32"/>
      <c r="J107" s="32"/>
      <c r="K107" s="32"/>
      <c r="L107" s="32"/>
      <c r="M107" s="32"/>
    </row>
    <row r="108" spans="1:13" ht="12.75">
      <c r="A108" s="32"/>
      <c r="B108" s="32" t="s">
        <v>162</v>
      </c>
      <c r="C108" s="32"/>
      <c r="D108" s="32"/>
      <c r="E108" s="47">
        <f>E71</f>
        <v>0.3556</v>
      </c>
      <c r="F108" s="32"/>
      <c r="G108" s="32"/>
      <c r="H108" s="32"/>
      <c r="I108" s="32"/>
      <c r="J108" s="32"/>
      <c r="K108" s="32"/>
      <c r="L108" s="32"/>
      <c r="M108" s="32"/>
    </row>
    <row r="109" spans="1:13" ht="12.75">
      <c r="A109" s="32"/>
      <c r="B109" s="32" t="s">
        <v>163</v>
      </c>
      <c r="C109" s="32"/>
      <c r="D109" s="32"/>
      <c r="E109" s="46">
        <f>E72</f>
        <v>0.8607</v>
      </c>
      <c r="F109" s="32"/>
      <c r="G109" s="32"/>
      <c r="H109" s="32"/>
      <c r="I109" s="32"/>
      <c r="J109" s="32"/>
      <c r="K109" s="32"/>
      <c r="L109" s="32"/>
      <c r="M109" s="32"/>
    </row>
    <row r="110" spans="1:13" ht="12.75">
      <c r="A110" s="32"/>
      <c r="B110" s="32"/>
      <c r="C110" s="9" t="s">
        <v>119</v>
      </c>
      <c r="D110" s="9"/>
      <c r="E110" s="43">
        <f>BlackScholes(E105,E106,E107,E108,E109)</f>
        <v>22.598034131671717</v>
      </c>
      <c r="F110" s="32"/>
      <c r="G110" s="32"/>
      <c r="H110" s="32"/>
      <c r="I110" s="32"/>
      <c r="J110" s="32"/>
      <c r="K110" s="32"/>
      <c r="L110" s="32"/>
      <c r="M110" s="32"/>
    </row>
    <row r="111" spans="1:13" ht="12.75">
      <c r="A111" s="32"/>
      <c r="B111" s="32"/>
      <c r="C111" s="32"/>
      <c r="D111" s="32"/>
      <c r="E111" s="32"/>
      <c r="F111" s="32"/>
      <c r="G111" s="32"/>
      <c r="H111" s="32"/>
      <c r="I111" s="32"/>
      <c r="J111" s="32"/>
      <c r="K111" s="32"/>
      <c r="L111" s="32"/>
      <c r="M111" s="32"/>
    </row>
    <row r="112" spans="1:13" ht="12.75">
      <c r="A112" s="32"/>
      <c r="B112" s="32"/>
      <c r="C112" s="32"/>
      <c r="D112" s="32"/>
      <c r="E112" s="32"/>
      <c r="F112" s="32"/>
      <c r="G112" s="32"/>
      <c r="H112" s="32"/>
      <c r="I112" s="32"/>
      <c r="J112" s="32"/>
      <c r="K112" s="32"/>
      <c r="L112" s="32"/>
      <c r="M112" s="32"/>
    </row>
    <row r="113" spans="1:13" ht="12.75">
      <c r="A113" s="32"/>
      <c r="B113" s="32"/>
      <c r="C113" s="32"/>
      <c r="D113" s="32"/>
      <c r="E113" s="32"/>
      <c r="F113" s="32"/>
      <c r="G113" s="32"/>
      <c r="H113" s="32"/>
      <c r="I113" s="32"/>
      <c r="J113" s="32"/>
      <c r="K113" s="32"/>
      <c r="L113" s="32"/>
      <c r="M113" s="32"/>
    </row>
    <row r="114" spans="1:13" ht="12.75">
      <c r="A114" s="32"/>
      <c r="B114" s="32"/>
      <c r="C114" s="32"/>
      <c r="D114" s="32"/>
      <c r="E114" s="32"/>
      <c r="F114" s="32"/>
      <c r="G114" s="32"/>
      <c r="H114" s="32"/>
      <c r="I114" s="32"/>
      <c r="J114" s="32"/>
      <c r="K114" s="32"/>
      <c r="L114" s="32"/>
      <c r="M114" s="32"/>
    </row>
    <row r="115" spans="1:13" ht="12.75">
      <c r="A115" s="32"/>
      <c r="B115" s="32"/>
      <c r="C115" s="32"/>
      <c r="D115" s="32"/>
      <c r="E115" s="32"/>
      <c r="F115" s="32"/>
      <c r="G115" s="32"/>
      <c r="H115" s="32"/>
      <c r="I115" s="32"/>
      <c r="J115" s="32"/>
      <c r="K115" s="32"/>
      <c r="L115" s="32"/>
      <c r="M115" s="32"/>
    </row>
    <row r="116" spans="1:13" ht="12.75">
      <c r="A116" s="32"/>
      <c r="B116" s="32"/>
      <c r="C116" s="32"/>
      <c r="D116" s="32"/>
      <c r="E116" s="32"/>
      <c r="F116" s="32"/>
      <c r="G116" s="32"/>
      <c r="H116" s="32"/>
      <c r="I116" s="32"/>
      <c r="J116" s="32"/>
      <c r="K116" s="32"/>
      <c r="L116" s="32"/>
      <c r="M116" s="32"/>
    </row>
    <row r="117" spans="1:13" ht="12.75">
      <c r="A117" s="32"/>
      <c r="B117" s="32"/>
      <c r="C117" s="32"/>
      <c r="D117" s="32"/>
      <c r="E117" s="32"/>
      <c r="F117" s="32"/>
      <c r="G117" s="32"/>
      <c r="H117" s="32"/>
      <c r="I117" s="32"/>
      <c r="J117" s="32"/>
      <c r="K117" s="32"/>
      <c r="L117" s="32"/>
      <c r="M117" s="32"/>
    </row>
    <row r="118" spans="1:13" ht="12.75">
      <c r="A118" s="32"/>
      <c r="B118" s="32"/>
      <c r="C118" s="32"/>
      <c r="D118" s="32"/>
      <c r="E118" s="32"/>
      <c r="F118" s="32"/>
      <c r="G118" s="32"/>
      <c r="H118" s="32"/>
      <c r="I118" s="32"/>
      <c r="J118" s="32"/>
      <c r="K118" s="32"/>
      <c r="L118" s="32"/>
      <c r="M118" s="32"/>
    </row>
    <row r="119" spans="1:13" ht="12.75">
      <c r="A119" s="32"/>
      <c r="B119" s="32"/>
      <c r="C119" s="32"/>
      <c r="D119" s="32"/>
      <c r="E119" s="32"/>
      <c r="F119" s="32"/>
      <c r="G119" s="32"/>
      <c r="H119" s="32"/>
      <c r="I119" s="32"/>
      <c r="J119" s="32"/>
      <c r="K119" s="32"/>
      <c r="L119" s="32"/>
      <c r="M119" s="32"/>
    </row>
    <row r="120" spans="1:13" ht="12.75">
      <c r="A120" s="32"/>
      <c r="B120" s="32"/>
      <c r="C120" s="32"/>
      <c r="D120" s="32"/>
      <c r="E120" s="32"/>
      <c r="F120" s="32"/>
      <c r="G120" s="32"/>
      <c r="H120" s="32"/>
      <c r="I120" s="32"/>
      <c r="J120" s="32"/>
      <c r="K120" s="32"/>
      <c r="L120" s="32"/>
      <c r="M120" s="32"/>
    </row>
    <row r="121" spans="1:13" ht="12.75">
      <c r="A121" s="32"/>
      <c r="B121" s="32"/>
      <c r="C121" s="32"/>
      <c r="D121" s="32"/>
      <c r="E121" s="32"/>
      <c r="F121" s="32"/>
      <c r="G121" s="32"/>
      <c r="H121" s="32"/>
      <c r="I121" s="32"/>
      <c r="J121" s="32"/>
      <c r="K121" s="32"/>
      <c r="L121" s="32"/>
      <c r="M121" s="32"/>
    </row>
    <row r="122" spans="1:13" ht="12.75">
      <c r="A122" s="32"/>
      <c r="B122" s="32"/>
      <c r="C122" s="32"/>
      <c r="D122" s="32"/>
      <c r="E122" s="32"/>
      <c r="F122" s="32"/>
      <c r="G122" s="32"/>
      <c r="H122" s="32"/>
      <c r="I122" s="32"/>
      <c r="J122" s="32"/>
      <c r="K122" s="32"/>
      <c r="L122" s="32"/>
      <c r="M122" s="32"/>
    </row>
    <row r="123" spans="1:13" ht="12.75">
      <c r="A123" s="32"/>
      <c r="B123" s="32"/>
      <c r="C123" s="32"/>
      <c r="D123" s="32"/>
      <c r="E123" s="32"/>
      <c r="F123" s="32"/>
      <c r="G123" s="32"/>
      <c r="H123" s="32"/>
      <c r="I123" s="32"/>
      <c r="J123" s="32"/>
      <c r="K123" s="32"/>
      <c r="L123" s="32"/>
      <c r="M123" s="32"/>
    </row>
    <row r="124" spans="1:13" ht="12.75">
      <c r="A124" s="32"/>
      <c r="B124" s="32"/>
      <c r="C124" s="32"/>
      <c r="D124" s="32"/>
      <c r="E124" s="32"/>
      <c r="F124" s="32"/>
      <c r="G124" s="32"/>
      <c r="H124" s="32"/>
      <c r="I124" s="32"/>
      <c r="J124" s="32"/>
      <c r="K124" s="32"/>
      <c r="L124" s="32"/>
      <c r="M124" s="32"/>
    </row>
    <row r="125" spans="1:13" ht="12.75">
      <c r="A125" s="32"/>
      <c r="B125" s="32"/>
      <c r="C125" s="32"/>
      <c r="D125" s="32"/>
      <c r="E125" s="32"/>
      <c r="F125" s="32"/>
      <c r="G125" s="32"/>
      <c r="H125" s="32"/>
      <c r="I125" s="32"/>
      <c r="J125" s="32"/>
      <c r="K125" s="32"/>
      <c r="L125" s="32"/>
      <c r="M125" s="32"/>
    </row>
    <row r="126" spans="1:13" ht="12.75">
      <c r="A126" s="32"/>
      <c r="B126" s="32"/>
      <c r="C126" s="32"/>
      <c r="D126" s="32"/>
      <c r="E126" s="32"/>
      <c r="F126" s="32"/>
      <c r="G126" s="32"/>
      <c r="H126" s="32"/>
      <c r="I126" s="32"/>
      <c r="J126" s="32"/>
      <c r="K126" s="32"/>
      <c r="L126" s="32"/>
      <c r="M126" s="32"/>
    </row>
    <row r="127" spans="1:13" ht="12.75">
      <c r="A127" s="32"/>
      <c r="B127" s="32"/>
      <c r="C127" s="32"/>
      <c r="D127" s="32"/>
      <c r="E127" s="32"/>
      <c r="F127" s="32"/>
      <c r="G127" s="32"/>
      <c r="H127" s="32"/>
      <c r="I127" s="32"/>
      <c r="J127" s="32"/>
      <c r="K127" s="32"/>
      <c r="L127" s="32"/>
      <c r="M127" s="32"/>
    </row>
    <row r="128" spans="1:13" ht="12.75">
      <c r="A128" s="32"/>
      <c r="B128" s="32"/>
      <c r="C128" s="32"/>
      <c r="D128" s="32"/>
      <c r="E128" s="32"/>
      <c r="F128" s="32"/>
      <c r="G128" s="32"/>
      <c r="H128" s="32"/>
      <c r="I128" s="32"/>
      <c r="J128" s="32"/>
      <c r="K128" s="32"/>
      <c r="L128" s="32"/>
      <c r="M128" s="32"/>
    </row>
    <row r="129" spans="1:13" ht="12.75">
      <c r="A129" s="32"/>
      <c r="B129" s="32"/>
      <c r="C129" s="32"/>
      <c r="D129" s="32"/>
      <c r="E129" s="32"/>
      <c r="F129" s="32"/>
      <c r="G129" s="32"/>
      <c r="H129" s="32"/>
      <c r="I129" s="32"/>
      <c r="J129" s="32"/>
      <c r="K129" s="32"/>
      <c r="L129" s="32"/>
      <c r="M129" s="32"/>
    </row>
    <row r="130" spans="1:13" ht="12.75">
      <c r="A130" s="32"/>
      <c r="B130" s="32"/>
      <c r="C130" s="32"/>
      <c r="D130" s="32"/>
      <c r="E130" s="32"/>
      <c r="F130" s="32"/>
      <c r="G130" s="32"/>
      <c r="H130" s="32"/>
      <c r="I130" s="32"/>
      <c r="J130" s="32"/>
      <c r="K130" s="32"/>
      <c r="L130" s="32"/>
      <c r="M130" s="32"/>
    </row>
    <row r="131" spans="1:13" ht="12.75">
      <c r="A131" s="32"/>
      <c r="B131" s="32"/>
      <c r="C131" s="32"/>
      <c r="D131" s="32"/>
      <c r="E131" s="32"/>
      <c r="F131" s="32"/>
      <c r="G131" s="32"/>
      <c r="H131" s="32"/>
      <c r="I131" s="32"/>
      <c r="J131" s="32"/>
      <c r="K131" s="32"/>
      <c r="L131" s="32"/>
      <c r="M131" s="32"/>
    </row>
    <row r="132" spans="1:13" ht="12.75">
      <c r="A132" s="32"/>
      <c r="B132" s="32"/>
      <c r="C132" s="32"/>
      <c r="D132" s="32"/>
      <c r="E132" s="32"/>
      <c r="F132" s="32"/>
      <c r="G132" s="32"/>
      <c r="H132" s="32"/>
      <c r="I132" s="32"/>
      <c r="J132" s="32"/>
      <c r="K132" s="32"/>
      <c r="L132" s="32"/>
      <c r="M132" s="32"/>
    </row>
    <row r="133" spans="1:13" ht="12.75">
      <c r="A133" s="32"/>
      <c r="B133" s="32"/>
      <c r="C133" s="32"/>
      <c r="D133" s="32"/>
      <c r="E133" s="32"/>
      <c r="F133" s="32"/>
      <c r="G133" s="32"/>
      <c r="H133" s="32"/>
      <c r="I133" s="32"/>
      <c r="J133" s="32"/>
      <c r="K133" s="32"/>
      <c r="L133" s="32"/>
      <c r="M133" s="32"/>
    </row>
    <row r="134" spans="1:13" ht="12.75">
      <c r="A134" s="32"/>
      <c r="B134" s="32"/>
      <c r="C134" s="32"/>
      <c r="D134" s="32"/>
      <c r="E134" s="32"/>
      <c r="F134" s="32"/>
      <c r="G134" s="32"/>
      <c r="H134" s="32"/>
      <c r="I134" s="32"/>
      <c r="J134" s="32"/>
      <c r="K134" s="32"/>
      <c r="L134" s="32"/>
      <c r="M134" s="32"/>
    </row>
    <row r="135" spans="1:13" ht="12.75">
      <c r="A135" s="32"/>
      <c r="B135" s="32"/>
      <c r="C135" s="32"/>
      <c r="D135" s="32"/>
      <c r="E135" s="32"/>
      <c r="F135" s="32"/>
      <c r="G135" s="32"/>
      <c r="H135" s="32"/>
      <c r="I135" s="32"/>
      <c r="J135" s="32"/>
      <c r="K135" s="32"/>
      <c r="L135" s="32"/>
      <c r="M135" s="32"/>
    </row>
    <row r="136" spans="1:13" ht="12.75">
      <c r="A136" s="32"/>
      <c r="B136" s="32"/>
      <c r="C136" s="32"/>
      <c r="D136" s="32"/>
      <c r="E136" s="32"/>
      <c r="F136" s="32"/>
      <c r="G136" s="32"/>
      <c r="H136" s="32"/>
      <c r="I136" s="32"/>
      <c r="J136" s="32"/>
      <c r="K136" s="32"/>
      <c r="L136" s="32"/>
      <c r="M136" s="32"/>
    </row>
    <row r="137" spans="1:13" ht="12.75">
      <c r="A137" s="32"/>
      <c r="B137" s="32"/>
      <c r="C137" s="32"/>
      <c r="D137" s="32"/>
      <c r="E137" s="32"/>
      <c r="F137" s="32"/>
      <c r="G137" s="32"/>
      <c r="H137" s="32"/>
      <c r="I137" s="32"/>
      <c r="J137" s="32"/>
      <c r="K137" s="32"/>
      <c r="L137" s="32"/>
      <c r="M137" s="32"/>
    </row>
    <row r="138" spans="1:13" ht="12.75">
      <c r="A138" s="32"/>
      <c r="B138" s="32"/>
      <c r="C138" s="32"/>
      <c r="D138" s="32"/>
      <c r="E138" s="32"/>
      <c r="F138" s="32"/>
      <c r="G138" s="32"/>
      <c r="H138" s="32"/>
      <c r="I138" s="32"/>
      <c r="J138" s="32"/>
      <c r="K138" s="32"/>
      <c r="L138" s="32"/>
      <c r="M138" s="32"/>
    </row>
    <row r="139" spans="1:13" ht="12.75">
      <c r="A139" s="32"/>
      <c r="B139" s="32"/>
      <c r="C139" s="32"/>
      <c r="D139" s="32"/>
      <c r="E139" s="32"/>
      <c r="F139" s="32"/>
      <c r="G139" s="32"/>
      <c r="H139" s="32"/>
      <c r="I139" s="32"/>
      <c r="J139" s="32"/>
      <c r="K139" s="32"/>
      <c r="L139" s="32"/>
      <c r="M139" s="32"/>
    </row>
    <row r="140" spans="1:13" ht="12.75">
      <c r="A140" s="32"/>
      <c r="B140" s="32"/>
      <c r="C140" s="32"/>
      <c r="D140" s="32"/>
      <c r="E140" s="32"/>
      <c r="F140" s="32"/>
      <c r="G140" s="32"/>
      <c r="H140" s="32"/>
      <c r="I140" s="32"/>
      <c r="J140" s="32"/>
      <c r="K140" s="32"/>
      <c r="L140" s="32"/>
      <c r="M140" s="32"/>
    </row>
    <row r="141" spans="1:13" ht="12.75">
      <c r="A141" s="32"/>
      <c r="B141" s="32"/>
      <c r="C141" s="32"/>
      <c r="D141" s="32"/>
      <c r="E141" s="32"/>
      <c r="F141" s="32"/>
      <c r="G141" s="32"/>
      <c r="H141" s="32"/>
      <c r="I141" s="32"/>
      <c r="J141" s="32"/>
      <c r="K141" s="32"/>
      <c r="L141" s="32"/>
      <c r="M141" s="32"/>
    </row>
    <row r="142" spans="1:13" ht="12.75">
      <c r="A142" s="32"/>
      <c r="B142" s="32"/>
      <c r="C142" s="32"/>
      <c r="D142" s="32"/>
      <c r="E142" s="32"/>
      <c r="F142" s="32"/>
      <c r="G142" s="32"/>
      <c r="H142" s="32"/>
      <c r="I142" s="32"/>
      <c r="J142" s="32"/>
      <c r="K142" s="32"/>
      <c r="L142" s="32"/>
      <c r="M142" s="32"/>
    </row>
    <row r="143" spans="1:13" ht="12.75">
      <c r="A143" s="32"/>
      <c r="B143" s="32"/>
      <c r="C143" s="32"/>
      <c r="D143" s="32"/>
      <c r="E143" s="32"/>
      <c r="F143" s="32"/>
      <c r="G143" s="32"/>
      <c r="H143" s="32"/>
      <c r="I143" s="32"/>
      <c r="J143" s="32"/>
      <c r="K143" s="32"/>
      <c r="L143" s="32"/>
      <c r="M143" s="32"/>
    </row>
    <row r="144" spans="1:13" ht="12.75">
      <c r="A144" s="32"/>
      <c r="B144" s="32"/>
      <c r="C144" s="32"/>
      <c r="D144" s="32"/>
      <c r="E144" s="32"/>
      <c r="F144" s="32"/>
      <c r="G144" s="32"/>
      <c r="H144" s="32"/>
      <c r="I144" s="32"/>
      <c r="J144" s="32"/>
      <c r="K144" s="32"/>
      <c r="L144" s="32"/>
      <c r="M144" s="32"/>
    </row>
    <row r="145" spans="1:13" ht="12.75">
      <c r="A145" s="32"/>
      <c r="B145" s="32"/>
      <c r="C145" s="32"/>
      <c r="D145" s="32"/>
      <c r="E145" s="32"/>
      <c r="F145" s="32"/>
      <c r="G145" s="32"/>
      <c r="H145" s="32"/>
      <c r="I145" s="32"/>
      <c r="J145" s="32"/>
      <c r="K145" s="32"/>
      <c r="L145" s="32"/>
      <c r="M145" s="32"/>
    </row>
    <row r="146" spans="1:13" ht="12.75">
      <c r="A146" s="32"/>
      <c r="B146" s="32"/>
      <c r="C146" s="32"/>
      <c r="D146" s="32"/>
      <c r="E146" s="32"/>
      <c r="F146" s="32"/>
      <c r="G146" s="32"/>
      <c r="H146" s="32"/>
      <c r="I146" s="32"/>
      <c r="J146" s="32"/>
      <c r="K146" s="32"/>
      <c r="L146" s="32"/>
      <c r="M146" s="32"/>
    </row>
    <row r="147" spans="1:13" ht="12.75">
      <c r="A147" s="32"/>
      <c r="B147" s="32"/>
      <c r="C147" s="32"/>
      <c r="D147" s="32"/>
      <c r="E147" s="32"/>
      <c r="F147" s="32"/>
      <c r="G147" s="32"/>
      <c r="H147" s="32"/>
      <c r="I147" s="32"/>
      <c r="J147" s="32"/>
      <c r="K147" s="32"/>
      <c r="L147" s="32"/>
      <c r="M147" s="32"/>
    </row>
    <row r="148" spans="1:13" ht="12.75">
      <c r="A148" s="32"/>
      <c r="B148" s="32"/>
      <c r="C148" s="32"/>
      <c r="D148" s="32"/>
      <c r="E148" s="32"/>
      <c r="F148" s="32"/>
      <c r="G148" s="32"/>
      <c r="H148" s="32"/>
      <c r="I148" s="32"/>
      <c r="J148" s="32"/>
      <c r="K148" s="32"/>
      <c r="L148" s="32"/>
      <c r="M148" s="32"/>
    </row>
    <row r="149" spans="1:13" ht="12.75">
      <c r="A149" s="32"/>
      <c r="B149" s="32"/>
      <c r="C149" s="32"/>
      <c r="D149" s="32"/>
      <c r="E149" s="32"/>
      <c r="F149" s="32"/>
      <c r="G149" s="32"/>
      <c r="H149" s="32"/>
      <c r="I149" s="32"/>
      <c r="J149" s="32"/>
      <c r="K149" s="32"/>
      <c r="L149" s="32"/>
      <c r="M149" s="32"/>
    </row>
    <row r="150" spans="1:13" ht="12.75">
      <c r="A150" s="32"/>
      <c r="B150" s="32"/>
      <c r="C150" s="32"/>
      <c r="D150" s="32"/>
      <c r="E150" s="32"/>
      <c r="F150" s="32"/>
      <c r="G150" s="32"/>
      <c r="H150" s="32"/>
      <c r="I150" s="32"/>
      <c r="J150" s="32"/>
      <c r="K150" s="32"/>
      <c r="L150" s="32"/>
      <c r="M150" s="32"/>
    </row>
    <row r="151" spans="1:13" ht="12.75">
      <c r="A151" s="32"/>
      <c r="B151" s="32"/>
      <c r="C151" s="32"/>
      <c r="D151" s="32"/>
      <c r="E151" s="32"/>
      <c r="F151" s="32"/>
      <c r="G151" s="32"/>
      <c r="H151" s="32"/>
      <c r="I151" s="32"/>
      <c r="J151" s="32"/>
      <c r="K151" s="32"/>
      <c r="L151" s="32"/>
      <c r="M151" s="32"/>
    </row>
    <row r="152" spans="1:13" ht="12.75">
      <c r="A152" s="32"/>
      <c r="B152" s="32"/>
      <c r="C152" s="32"/>
      <c r="D152" s="32"/>
      <c r="E152" s="32"/>
      <c r="F152" s="32"/>
      <c r="G152" s="32"/>
      <c r="H152" s="32"/>
      <c r="I152" s="32"/>
      <c r="J152" s="32"/>
      <c r="K152" s="32"/>
      <c r="L152" s="32"/>
      <c r="M152" s="32"/>
    </row>
    <row r="153" spans="1:13" ht="12.75">
      <c r="A153" s="32"/>
      <c r="B153" s="32"/>
      <c r="C153" s="32"/>
      <c r="D153" s="32"/>
      <c r="E153" s="32"/>
      <c r="F153" s="32"/>
      <c r="G153" s="32"/>
      <c r="H153" s="32"/>
      <c r="I153" s="32"/>
      <c r="J153" s="32"/>
      <c r="K153" s="32"/>
      <c r="L153" s="32"/>
      <c r="M153" s="32"/>
    </row>
    <row r="154" spans="1:13" ht="12.75">
      <c r="A154" s="32"/>
      <c r="B154" s="32"/>
      <c r="C154" s="32"/>
      <c r="D154" s="32"/>
      <c r="E154" s="32"/>
      <c r="F154" s="32"/>
      <c r="G154" s="32"/>
      <c r="H154" s="32"/>
      <c r="I154" s="32"/>
      <c r="J154" s="32"/>
      <c r="K154" s="32"/>
      <c r="L154" s="32"/>
      <c r="M154" s="32"/>
    </row>
    <row r="155" spans="1:13" ht="12.75">
      <c r="A155" s="32"/>
      <c r="B155" s="32"/>
      <c r="C155" s="32"/>
      <c r="D155" s="32"/>
      <c r="E155" s="32"/>
      <c r="F155" s="32"/>
      <c r="G155" s="32"/>
      <c r="H155" s="32"/>
      <c r="I155" s="32"/>
      <c r="J155" s="32"/>
      <c r="K155" s="32"/>
      <c r="L155" s="32"/>
      <c r="M155" s="32"/>
    </row>
    <row r="156" spans="1:13" ht="12.75">
      <c r="A156" s="32"/>
      <c r="B156" s="32"/>
      <c r="C156" s="32"/>
      <c r="D156" s="32"/>
      <c r="E156" s="32"/>
      <c r="F156" s="32"/>
      <c r="G156" s="32"/>
      <c r="H156" s="32"/>
      <c r="I156" s="32"/>
      <c r="J156" s="32"/>
      <c r="K156" s="32"/>
      <c r="L156" s="32"/>
      <c r="M156" s="32"/>
    </row>
    <row r="157" spans="1:13" ht="12.75">
      <c r="A157" s="32"/>
      <c r="B157" s="32"/>
      <c r="C157" s="32"/>
      <c r="D157" s="32"/>
      <c r="E157" s="32"/>
      <c r="F157" s="32"/>
      <c r="G157" s="32"/>
      <c r="H157" s="32"/>
      <c r="I157" s="32"/>
      <c r="J157" s="32"/>
      <c r="K157" s="32"/>
      <c r="L157" s="32"/>
      <c r="M157" s="32"/>
    </row>
    <row r="158" spans="1:13" ht="12.75">
      <c r="A158" s="32"/>
      <c r="B158" s="32"/>
      <c r="C158" s="32"/>
      <c r="D158" s="32"/>
      <c r="E158" s="32"/>
      <c r="F158" s="32"/>
      <c r="G158" s="32"/>
      <c r="H158" s="32"/>
      <c r="I158" s="32"/>
      <c r="J158" s="32"/>
      <c r="K158" s="32"/>
      <c r="L158" s="32"/>
      <c r="M158" s="32"/>
    </row>
    <row r="159" spans="1:13" ht="12.75">
      <c r="A159" s="32"/>
      <c r="B159" s="32"/>
      <c r="C159" s="32"/>
      <c r="D159" s="32"/>
      <c r="E159" s="32"/>
      <c r="F159" s="32"/>
      <c r="G159" s="32"/>
      <c r="H159" s="32"/>
      <c r="I159" s="32"/>
      <c r="J159" s="32"/>
      <c r="K159" s="32"/>
      <c r="L159" s="32"/>
      <c r="M159" s="32"/>
    </row>
    <row r="160" spans="1:13" ht="12.75">
      <c r="A160" s="32"/>
      <c r="B160" s="32"/>
      <c r="C160" s="32"/>
      <c r="D160" s="32"/>
      <c r="E160" s="32"/>
      <c r="F160" s="32"/>
      <c r="G160" s="32"/>
      <c r="H160" s="32"/>
      <c r="I160" s="32"/>
      <c r="J160" s="32"/>
      <c r="K160" s="32"/>
      <c r="L160" s="32"/>
      <c r="M160" s="32"/>
    </row>
    <row r="161" spans="1:13" ht="12.75">
      <c r="A161" s="32"/>
      <c r="B161" s="32"/>
      <c r="C161" s="32"/>
      <c r="D161" s="32"/>
      <c r="E161" s="32"/>
      <c r="F161" s="32"/>
      <c r="G161" s="32"/>
      <c r="H161" s="32"/>
      <c r="I161" s="32"/>
      <c r="J161" s="32"/>
      <c r="K161" s="32"/>
      <c r="L161" s="32"/>
      <c r="M161" s="32"/>
    </row>
  </sheetData>
  <hyperlinks>
    <hyperlink ref="K1" location="'Main Menu'!A1" display="Main Menu"/>
  </hyperlink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S139"/>
  <sheetViews>
    <sheetView workbookViewId="0" topLeftCell="A118">
      <selection activeCell="J1" sqref="J1"/>
    </sheetView>
  </sheetViews>
  <sheetFormatPr defaultColWidth="9.140625" defaultRowHeight="12.75"/>
  <cols>
    <col min="1" max="1" width="4.7109375" style="0" customWidth="1"/>
    <col min="2" max="2" width="13.7109375" style="0" customWidth="1"/>
    <col min="3" max="3" width="15.421875" style="0" customWidth="1"/>
    <col min="4" max="4" width="13.00390625" style="0" customWidth="1"/>
    <col min="5" max="5" width="14.28125" style="0" customWidth="1"/>
    <col min="6" max="7" width="13.8515625" style="0" customWidth="1"/>
    <col min="8" max="8" width="14.140625" style="0" customWidth="1"/>
    <col min="9" max="9" width="13.28125" style="0" customWidth="1"/>
    <col min="10" max="10" width="14.8515625" style="0" customWidth="1"/>
    <col min="11" max="31" width="14.7109375" style="0" customWidth="1"/>
  </cols>
  <sheetData>
    <row r="1" spans="3:10" ht="18">
      <c r="C1" s="1" t="s">
        <v>0</v>
      </c>
      <c r="J1" s="104" t="s">
        <v>517</v>
      </c>
    </row>
    <row r="2" ht="18">
      <c r="C2" s="1" t="s">
        <v>121</v>
      </c>
    </row>
    <row r="3" spans="1:12" ht="3" customHeight="1">
      <c r="A3" s="2"/>
      <c r="B3" s="2"/>
      <c r="C3" s="2"/>
      <c r="D3" s="2"/>
      <c r="E3" s="2"/>
      <c r="F3" s="2"/>
      <c r="G3" s="2"/>
      <c r="H3" s="2"/>
      <c r="I3" s="2"/>
      <c r="J3" s="2"/>
      <c r="K3" s="2"/>
      <c r="L3" s="2"/>
    </row>
    <row r="4" spans="1:8" ht="12.75">
      <c r="A4" s="3" t="s">
        <v>168</v>
      </c>
      <c r="B4" s="3"/>
      <c r="C4" s="3"/>
      <c r="D4" s="3"/>
      <c r="E4" s="3"/>
      <c r="F4" s="3"/>
      <c r="G4" s="3"/>
      <c r="H4" s="3"/>
    </row>
    <row r="5" ht="12.75">
      <c r="A5" s="3" t="s">
        <v>169</v>
      </c>
    </row>
    <row r="6" ht="12.75">
      <c r="A6" s="3" t="s">
        <v>170</v>
      </c>
    </row>
    <row r="8" ht="14.25">
      <c r="A8" s="39" t="s">
        <v>171</v>
      </c>
    </row>
    <row r="10" ht="12.75">
      <c r="B10" t="s">
        <v>172</v>
      </c>
    </row>
    <row r="11" ht="12.75">
      <c r="B11" t="s">
        <v>173</v>
      </c>
    </row>
    <row r="13" ht="14.25">
      <c r="A13" s="39" t="s">
        <v>174</v>
      </c>
    </row>
    <row r="15" ht="12.75">
      <c r="B15" t="s">
        <v>175</v>
      </c>
    </row>
    <row r="16" ht="12.75">
      <c r="B16" t="s">
        <v>176</v>
      </c>
    </row>
    <row r="17" ht="12.75">
      <c r="B17" t="s">
        <v>197</v>
      </c>
    </row>
    <row r="18" ht="12.75">
      <c r="B18" t="s">
        <v>215</v>
      </c>
    </row>
    <row r="19" ht="12.75">
      <c r="B19" t="s">
        <v>177</v>
      </c>
    </row>
    <row r="20" ht="12.75">
      <c r="C20" t="s">
        <v>189</v>
      </c>
    </row>
    <row r="22" spans="1:8" ht="14.25">
      <c r="A22" s="38" t="s">
        <v>178</v>
      </c>
      <c r="F22" s="22" t="s">
        <v>216</v>
      </c>
      <c r="G22" s="22"/>
      <c r="H22" s="22">
        <v>1.04</v>
      </c>
    </row>
    <row r="24" ht="12.75">
      <c r="B24" t="s">
        <v>179</v>
      </c>
    </row>
    <row r="26" spans="5:9" ht="12.75">
      <c r="E26" s="6" t="s">
        <v>180</v>
      </c>
      <c r="F26" s="6" t="s">
        <v>181</v>
      </c>
      <c r="G26" s="6" t="s">
        <v>182</v>
      </c>
      <c r="H26" s="6" t="s">
        <v>183</v>
      </c>
      <c r="I26" s="6" t="s">
        <v>184</v>
      </c>
    </row>
    <row r="28" spans="2:9" ht="12.75">
      <c r="B28" t="s">
        <v>185</v>
      </c>
      <c r="E28" s="8">
        <v>1200000</v>
      </c>
      <c r="F28" s="8">
        <f>E28*H22</f>
        <v>1248000</v>
      </c>
      <c r="G28" s="8">
        <f>F28*H22</f>
        <v>1297920</v>
      </c>
      <c r="H28" s="8">
        <f>G28*H22</f>
        <v>1349836.8</v>
      </c>
      <c r="I28" s="8">
        <f>H28*H22</f>
        <v>1403830.272</v>
      </c>
    </row>
    <row r="29" spans="2:9" ht="12.75">
      <c r="B29" t="s">
        <v>186</v>
      </c>
      <c r="E29" s="48">
        <v>5600000</v>
      </c>
      <c r="F29" s="48">
        <f>E29*H22</f>
        <v>5824000</v>
      </c>
      <c r="G29" s="48">
        <f>F29*H22</f>
        <v>6056960</v>
      </c>
      <c r="H29" s="48">
        <f>G29*H22</f>
        <v>6299238.4</v>
      </c>
      <c r="I29" s="48">
        <f>H29*H22</f>
        <v>6551207.936000001</v>
      </c>
    </row>
    <row r="30" spans="4:9" ht="12.75">
      <c r="D30" s="9" t="s">
        <v>187</v>
      </c>
      <c r="E30" s="49">
        <f>SUM(E28:E29)</f>
        <v>6800000</v>
      </c>
      <c r="F30" s="49">
        <f>SUM(F28:F29)</f>
        <v>7072000</v>
      </c>
      <c r="G30" s="49">
        <f>SUM(G28:G29)</f>
        <v>7354880</v>
      </c>
      <c r="H30" s="49">
        <f>SUM(H28:H29)</f>
        <v>7649075.2</v>
      </c>
      <c r="I30" s="49">
        <f>SUM(I28:I29)</f>
        <v>7955038.208000001</v>
      </c>
    </row>
    <row r="32" ht="14.25">
      <c r="A32" s="38" t="s">
        <v>188</v>
      </c>
    </row>
    <row r="34" ht="12.75">
      <c r="B34" t="s">
        <v>190</v>
      </c>
    </row>
    <row r="36" ht="12.75">
      <c r="B36" t="s">
        <v>191</v>
      </c>
    </row>
    <row r="37" ht="12.75">
      <c r="B37" t="s">
        <v>192</v>
      </c>
    </row>
    <row r="39" ht="14.25">
      <c r="A39" s="38" t="s">
        <v>193</v>
      </c>
    </row>
    <row r="40" spans="4:9" ht="12.75">
      <c r="D40" s="5" t="s">
        <v>194</v>
      </c>
      <c r="E40" s="5"/>
      <c r="F40" s="5"/>
      <c r="G40" s="5"/>
      <c r="H40" s="5"/>
      <c r="I40" s="5"/>
    </row>
    <row r="41" spans="4:9" ht="12.75">
      <c r="D41" s="6" t="s">
        <v>78</v>
      </c>
      <c r="E41" s="6" t="s">
        <v>180</v>
      </c>
      <c r="F41" s="6" t="s">
        <v>181</v>
      </c>
      <c r="G41" s="6" t="s">
        <v>182</v>
      </c>
      <c r="H41" s="6" t="s">
        <v>183</v>
      </c>
      <c r="I41" s="6" t="s">
        <v>184</v>
      </c>
    </row>
    <row r="42" spans="2:4" ht="12.75">
      <c r="B42" s="9" t="s">
        <v>195</v>
      </c>
      <c r="D42" s="8">
        <v>8000000</v>
      </c>
    </row>
    <row r="43" spans="2:9" ht="12.75">
      <c r="B43" t="s">
        <v>185</v>
      </c>
      <c r="D43" s="8"/>
      <c r="E43" s="8">
        <v>500000</v>
      </c>
      <c r="F43" s="8">
        <f>E43*H22</f>
        <v>520000</v>
      </c>
      <c r="G43" s="8">
        <f>F43*H22</f>
        <v>540800</v>
      </c>
      <c r="H43" s="8">
        <f>G43*H22</f>
        <v>562432</v>
      </c>
      <c r="I43" s="8">
        <f>H43*H22</f>
        <v>584929.28</v>
      </c>
    </row>
    <row r="44" spans="2:9" ht="12.75">
      <c r="B44" t="s">
        <v>186</v>
      </c>
      <c r="D44" s="48"/>
      <c r="E44" s="48">
        <v>1800000</v>
      </c>
      <c r="F44" s="48">
        <f>E44*H22</f>
        <v>1872000</v>
      </c>
      <c r="G44" s="48">
        <f>F44*H22</f>
        <v>1946880</v>
      </c>
      <c r="H44" s="48">
        <f>G44*H22</f>
        <v>2024755.2</v>
      </c>
      <c r="I44" s="48">
        <f>H44*H22</f>
        <v>2105745.408</v>
      </c>
    </row>
    <row r="45" spans="3:9" ht="12.75">
      <c r="C45" s="9" t="s">
        <v>187</v>
      </c>
      <c r="D45" s="49">
        <f aca="true" t="shared" si="0" ref="D45:I45">SUM(D42:D44)</f>
        <v>8000000</v>
      </c>
      <c r="E45" s="49">
        <f t="shared" si="0"/>
        <v>2300000</v>
      </c>
      <c r="F45" s="49">
        <f t="shared" si="0"/>
        <v>2392000</v>
      </c>
      <c r="G45" s="49">
        <f t="shared" si="0"/>
        <v>2487680</v>
      </c>
      <c r="H45" s="49">
        <f t="shared" si="0"/>
        <v>2587187.2</v>
      </c>
      <c r="I45" s="49">
        <f t="shared" si="0"/>
        <v>2690674.688</v>
      </c>
    </row>
    <row r="46" spans="4:9" ht="12.75">
      <c r="D46" s="8"/>
      <c r="E46" s="8"/>
      <c r="F46" s="8"/>
      <c r="G46" s="8"/>
      <c r="H46" s="8"/>
      <c r="I46" s="8"/>
    </row>
    <row r="47" spans="2:4" ht="12.75">
      <c r="B47" s="9" t="s">
        <v>196</v>
      </c>
      <c r="D47" s="8">
        <v>4500000</v>
      </c>
    </row>
    <row r="48" spans="2:9" ht="12.75">
      <c r="B48" t="s">
        <v>185</v>
      </c>
      <c r="D48" s="8"/>
      <c r="E48" s="8">
        <v>800000</v>
      </c>
      <c r="F48" s="8">
        <f>E48*H22</f>
        <v>832000</v>
      </c>
      <c r="G48" s="8">
        <f>F48*H22</f>
        <v>865280</v>
      </c>
      <c r="H48" s="8">
        <f>G48*H22</f>
        <v>899891.2000000001</v>
      </c>
      <c r="I48" s="8">
        <f>H48*H22</f>
        <v>935886.8480000001</v>
      </c>
    </row>
    <row r="49" spans="2:9" ht="12.75">
      <c r="B49" t="s">
        <v>186</v>
      </c>
      <c r="D49" s="48"/>
      <c r="E49" s="48">
        <v>2200000</v>
      </c>
      <c r="F49" s="48">
        <f>E49*H22</f>
        <v>2288000</v>
      </c>
      <c r="G49" s="48">
        <f>F49*H22</f>
        <v>2379520</v>
      </c>
      <c r="H49" s="48">
        <f>G49*H22</f>
        <v>2474700.8000000003</v>
      </c>
      <c r="I49" s="48">
        <f>H49*H22</f>
        <v>2573688.8320000004</v>
      </c>
    </row>
    <row r="50" spans="3:9" ht="12.75">
      <c r="C50" s="9" t="s">
        <v>187</v>
      </c>
      <c r="D50" s="49">
        <f aca="true" t="shared" si="1" ref="D50:I50">SUM(D47:D49)</f>
        <v>4500000</v>
      </c>
      <c r="E50" s="49">
        <f t="shared" si="1"/>
        <v>3000000</v>
      </c>
      <c r="F50" s="49">
        <f t="shared" si="1"/>
        <v>3120000</v>
      </c>
      <c r="G50" s="49">
        <f t="shared" si="1"/>
        <v>3244800</v>
      </c>
      <c r="H50" s="49">
        <f t="shared" si="1"/>
        <v>3374592.0000000005</v>
      </c>
      <c r="I50" s="49">
        <f t="shared" si="1"/>
        <v>3509575.6800000006</v>
      </c>
    </row>
    <row r="53" ht="14.25">
      <c r="A53" s="38" t="s">
        <v>337</v>
      </c>
    </row>
    <row r="55" ht="12.75">
      <c r="B55" t="s">
        <v>199</v>
      </c>
    </row>
    <row r="56" ht="12.75">
      <c r="B56" t="s">
        <v>200</v>
      </c>
    </row>
    <row r="57" ht="12.75">
      <c r="B57" t="s">
        <v>208</v>
      </c>
    </row>
    <row r="59" spans="2:4" ht="12.75">
      <c r="B59" s="5" t="s">
        <v>201</v>
      </c>
      <c r="C59" s="5" t="s">
        <v>203</v>
      </c>
      <c r="D59" s="5" t="s">
        <v>205</v>
      </c>
    </row>
    <row r="60" spans="2:4" ht="12.75">
      <c r="B60" s="6" t="s">
        <v>202</v>
      </c>
      <c r="C60" s="6" t="s">
        <v>204</v>
      </c>
      <c r="D60" s="6" t="s">
        <v>206</v>
      </c>
    </row>
    <row r="61" spans="2:4" ht="12.75">
      <c r="B61" s="5">
        <v>0</v>
      </c>
      <c r="C61" s="15" t="s">
        <v>207</v>
      </c>
      <c r="D61" s="15" t="s">
        <v>207</v>
      </c>
    </row>
    <row r="62" spans="2:16" ht="12.75">
      <c r="B62" s="5">
        <v>1</v>
      </c>
      <c r="C62" s="15">
        <v>0.05</v>
      </c>
      <c r="D62" s="15">
        <v>0.15</v>
      </c>
      <c r="F62" s="12" t="s">
        <v>220</v>
      </c>
      <c r="N62" s="5"/>
      <c r="O62" s="15"/>
      <c r="P62" s="15"/>
    </row>
    <row r="63" spans="2:16" ht="12.75">
      <c r="B63" s="5">
        <v>2</v>
      </c>
      <c r="C63" s="15">
        <v>0.05</v>
      </c>
      <c r="D63" s="15">
        <v>0.25</v>
      </c>
      <c r="F63" s="12" t="s">
        <v>221</v>
      </c>
      <c r="N63" s="5"/>
      <c r="O63" s="15"/>
      <c r="P63" s="15"/>
    </row>
    <row r="64" spans="2:16" ht="12.75">
      <c r="B64" s="5">
        <v>3</v>
      </c>
      <c r="C64" s="15">
        <v>0.1</v>
      </c>
      <c r="D64" s="15">
        <v>0.4</v>
      </c>
      <c r="F64" s="12" t="s">
        <v>222</v>
      </c>
      <c r="N64" s="5"/>
      <c r="O64" s="15"/>
      <c r="P64" s="15"/>
    </row>
    <row r="65" spans="2:16" ht="12.75">
      <c r="B65" s="5">
        <v>4</v>
      </c>
      <c r="C65" s="15">
        <v>0.1</v>
      </c>
      <c r="D65" s="15">
        <v>0.65</v>
      </c>
      <c r="F65" s="12" t="s">
        <v>333</v>
      </c>
      <c r="N65" s="5"/>
      <c r="O65" s="15"/>
      <c r="P65" s="15"/>
    </row>
    <row r="66" spans="2:16" ht="12.75">
      <c r="B66" s="5">
        <v>5</v>
      </c>
      <c r="C66" s="15">
        <v>0.15</v>
      </c>
      <c r="D66" s="15">
        <v>1</v>
      </c>
      <c r="F66" s="12" t="s">
        <v>334</v>
      </c>
      <c r="N66" s="5"/>
      <c r="O66" s="15"/>
      <c r="P66" s="15"/>
    </row>
    <row r="68" spans="2:17" ht="12.75">
      <c r="B68" s="50" t="s">
        <v>214</v>
      </c>
      <c r="E68" t="s">
        <v>209</v>
      </c>
      <c r="H68" t="s">
        <v>210</v>
      </c>
      <c r="K68" t="s">
        <v>211</v>
      </c>
      <c r="N68" t="s">
        <v>212</v>
      </c>
      <c r="Q68" t="s">
        <v>213</v>
      </c>
    </row>
    <row r="69" spans="4:19" ht="12.75">
      <c r="D69" s="6" t="s">
        <v>202</v>
      </c>
      <c r="E69" s="6" t="s">
        <v>166</v>
      </c>
      <c r="F69" s="6" t="s">
        <v>143</v>
      </c>
      <c r="G69" s="6" t="s">
        <v>167</v>
      </c>
      <c r="H69" s="6" t="s">
        <v>166</v>
      </c>
      <c r="I69" s="6" t="s">
        <v>143</v>
      </c>
      <c r="J69" s="6" t="s">
        <v>167</v>
      </c>
      <c r="K69" s="6" t="s">
        <v>166</v>
      </c>
      <c r="L69" s="6" t="s">
        <v>143</v>
      </c>
      <c r="M69" s="6" t="s">
        <v>167</v>
      </c>
      <c r="N69" s="6" t="s">
        <v>166</v>
      </c>
      <c r="O69" s="6" t="s">
        <v>143</v>
      </c>
      <c r="P69" s="6" t="s">
        <v>167</v>
      </c>
      <c r="Q69" s="6" t="s">
        <v>166</v>
      </c>
      <c r="R69" s="6" t="s">
        <v>143</v>
      </c>
      <c r="S69" s="6" t="s">
        <v>167</v>
      </c>
    </row>
    <row r="70" spans="2:5" ht="12.75">
      <c r="B70" s="9" t="s">
        <v>195</v>
      </c>
      <c r="E70" s="8"/>
    </row>
    <row r="71" spans="2:19" ht="12.75">
      <c r="B71" t="s">
        <v>185</v>
      </c>
      <c r="D71" s="5">
        <v>2</v>
      </c>
      <c r="E71" s="8">
        <v>475000</v>
      </c>
      <c r="F71" s="52">
        <v>500000</v>
      </c>
      <c r="G71" s="8">
        <v>625000</v>
      </c>
      <c r="H71" s="8">
        <v>494000</v>
      </c>
      <c r="I71" s="52">
        <v>520000</v>
      </c>
      <c r="J71" s="8">
        <v>650000</v>
      </c>
      <c r="K71" s="8">
        <v>513760</v>
      </c>
      <c r="L71" s="52">
        <v>540800</v>
      </c>
      <c r="M71" s="8">
        <v>676000</v>
      </c>
      <c r="N71" s="8">
        <v>534310</v>
      </c>
      <c r="O71" s="52">
        <v>562432</v>
      </c>
      <c r="P71" s="8">
        <v>703040</v>
      </c>
      <c r="Q71" s="8">
        <v>555683</v>
      </c>
      <c r="R71" s="52">
        <v>584929.28</v>
      </c>
      <c r="S71" s="8">
        <v>731161</v>
      </c>
    </row>
    <row r="72" spans="2:19" ht="12.75">
      <c r="B72" t="s">
        <v>186</v>
      </c>
      <c r="D72" s="5">
        <v>1</v>
      </c>
      <c r="E72" s="8">
        <v>1710000</v>
      </c>
      <c r="F72" s="53">
        <v>1800000</v>
      </c>
      <c r="G72" s="8">
        <v>2070000</v>
      </c>
      <c r="H72" s="8">
        <v>1778400</v>
      </c>
      <c r="I72" s="52">
        <v>1872000</v>
      </c>
      <c r="J72" s="8">
        <v>2152800</v>
      </c>
      <c r="K72" s="8">
        <v>1849536</v>
      </c>
      <c r="L72" s="52">
        <v>1946880</v>
      </c>
      <c r="M72" s="8">
        <v>2238912</v>
      </c>
      <c r="N72" s="8">
        <v>1923517</v>
      </c>
      <c r="O72" s="52">
        <v>2024755.2</v>
      </c>
      <c r="P72" s="8">
        <v>2328468</v>
      </c>
      <c r="Q72" s="8">
        <v>2000458</v>
      </c>
      <c r="R72" s="52">
        <v>2105745.408</v>
      </c>
      <c r="S72" s="8">
        <v>2421607</v>
      </c>
    </row>
    <row r="73" spans="3:19" ht="12.75">
      <c r="C73" s="9" t="s">
        <v>223</v>
      </c>
      <c r="D73" s="51"/>
      <c r="E73" s="8"/>
      <c r="F73" s="54">
        <f>SUM(F71:F72)</f>
        <v>2300000</v>
      </c>
      <c r="G73" s="8"/>
      <c r="H73" s="8"/>
      <c r="I73" s="55">
        <f>SUM(I71:I72)</f>
        <v>2392000</v>
      </c>
      <c r="J73" s="8"/>
      <c r="K73" s="8"/>
      <c r="L73" s="55">
        <f>SUM(L71:L72)</f>
        <v>2487680</v>
      </c>
      <c r="M73" s="8"/>
      <c r="N73" s="8"/>
      <c r="O73" s="55">
        <f>SUM(O71:O72)</f>
        <v>2587187.2</v>
      </c>
      <c r="P73" s="8"/>
      <c r="Q73" s="8"/>
      <c r="R73" s="55">
        <f>SUM(R71:R72)</f>
        <v>2690674.688</v>
      </c>
      <c r="S73" s="8"/>
    </row>
    <row r="74" spans="4:18" ht="12.75">
      <c r="D74" s="5"/>
      <c r="H74" s="8"/>
      <c r="I74" s="8"/>
      <c r="J74" s="8"/>
      <c r="K74" s="8"/>
      <c r="L74" s="8"/>
      <c r="M74" s="8"/>
      <c r="O74" s="8"/>
      <c r="R74" s="8"/>
    </row>
    <row r="75" spans="2:18" ht="12.75">
      <c r="B75" s="9" t="s">
        <v>196</v>
      </c>
      <c r="D75" s="5"/>
      <c r="H75" s="8"/>
      <c r="I75" s="8"/>
      <c r="J75" s="8"/>
      <c r="K75" s="8"/>
      <c r="L75" s="8"/>
      <c r="M75" s="8"/>
      <c r="O75" s="8"/>
      <c r="R75" s="8"/>
    </row>
    <row r="76" spans="2:19" ht="12.75">
      <c r="B76" t="s">
        <v>185</v>
      </c>
      <c r="D76" s="5">
        <v>2</v>
      </c>
      <c r="E76" s="8">
        <v>760000</v>
      </c>
      <c r="F76" s="52">
        <v>800000</v>
      </c>
      <c r="G76" s="8">
        <v>1000000</v>
      </c>
      <c r="H76" s="8">
        <v>790400</v>
      </c>
      <c r="I76" s="52">
        <v>832000</v>
      </c>
      <c r="J76" s="8">
        <v>1040000</v>
      </c>
      <c r="K76" s="8">
        <v>822016</v>
      </c>
      <c r="L76" s="52">
        <v>865280</v>
      </c>
      <c r="M76" s="8">
        <v>1081600</v>
      </c>
      <c r="N76" s="8">
        <v>854896</v>
      </c>
      <c r="O76" s="52">
        <v>899891.2</v>
      </c>
      <c r="P76" s="8">
        <v>1124864</v>
      </c>
      <c r="Q76" s="8">
        <v>889093</v>
      </c>
      <c r="R76" s="52">
        <v>935886.8480000001</v>
      </c>
      <c r="S76" s="8">
        <v>1169859</v>
      </c>
    </row>
    <row r="77" spans="2:19" ht="12.75">
      <c r="B77" t="s">
        <v>186</v>
      </c>
      <c r="D77" s="5">
        <v>3</v>
      </c>
      <c r="E77" s="8">
        <v>1980000</v>
      </c>
      <c r="F77" s="53">
        <v>2200000</v>
      </c>
      <c r="G77" s="8">
        <v>3080000</v>
      </c>
      <c r="H77" s="8">
        <v>2059200</v>
      </c>
      <c r="I77" s="52">
        <v>2288000</v>
      </c>
      <c r="J77" s="8">
        <v>3203200</v>
      </c>
      <c r="K77" s="8">
        <v>2141568</v>
      </c>
      <c r="L77" s="52">
        <v>2379520</v>
      </c>
      <c r="M77" s="8">
        <v>3331328</v>
      </c>
      <c r="N77" s="8">
        <v>2227231</v>
      </c>
      <c r="O77" s="52">
        <v>2474700.8</v>
      </c>
      <c r="P77" s="8">
        <v>3464581</v>
      </c>
      <c r="Q77" s="8">
        <v>2316320</v>
      </c>
      <c r="R77" s="52">
        <v>2573688.8320000004</v>
      </c>
      <c r="S77" s="8">
        <v>3603165</v>
      </c>
    </row>
    <row r="78" spans="3:19" ht="12.75">
      <c r="C78" s="9" t="s">
        <v>223</v>
      </c>
      <c r="D78" s="5"/>
      <c r="E78" s="8"/>
      <c r="F78" s="54">
        <f>SUM(F76:F77)</f>
        <v>3000000</v>
      </c>
      <c r="G78" s="8"/>
      <c r="H78" s="8"/>
      <c r="I78" s="55">
        <f>SUM(I76:I77)</f>
        <v>3120000</v>
      </c>
      <c r="J78" s="8"/>
      <c r="K78" s="8"/>
      <c r="L78" s="55">
        <f>SUM(L76:L77)</f>
        <v>3244800</v>
      </c>
      <c r="M78" s="8"/>
      <c r="N78" s="8"/>
      <c r="O78" s="55">
        <f>SUM(O76:O77)</f>
        <v>3374592</v>
      </c>
      <c r="P78" s="8"/>
      <c r="Q78" s="8"/>
      <c r="R78" s="55">
        <f>SUM(R76:R77)</f>
        <v>3509575.6800000006</v>
      </c>
      <c r="S78" s="8"/>
    </row>
    <row r="79" spans="3:13" ht="12.75">
      <c r="C79" s="9" t="s">
        <v>3</v>
      </c>
      <c r="H79" s="8"/>
      <c r="I79" s="8"/>
      <c r="J79" s="8"/>
      <c r="K79" s="8"/>
      <c r="L79" s="8"/>
      <c r="M79" s="8"/>
    </row>
    <row r="81" ht="14.25">
      <c r="A81" s="38" t="s">
        <v>338</v>
      </c>
    </row>
    <row r="83" spans="5:9" ht="12.75">
      <c r="E83" s="6" t="s">
        <v>180</v>
      </c>
      <c r="F83" s="6" t="s">
        <v>181</v>
      </c>
      <c r="G83" s="6" t="s">
        <v>182</v>
      </c>
      <c r="H83" s="6" t="s">
        <v>183</v>
      </c>
      <c r="I83" s="6" t="s">
        <v>184</v>
      </c>
    </row>
    <row r="84" spans="2:9" ht="12.75">
      <c r="B84" s="9" t="s">
        <v>195</v>
      </c>
      <c r="E84" s="6"/>
      <c r="F84" s="6"/>
      <c r="G84" s="6"/>
      <c r="H84" s="6"/>
      <c r="I84" s="6"/>
    </row>
    <row r="86" spans="2:9" ht="12.75">
      <c r="B86" t="s">
        <v>335</v>
      </c>
      <c r="E86" s="8">
        <f>'4.1 Simulation'!E78</f>
        <v>2435616.0111043444</v>
      </c>
      <c r="F86" s="8">
        <f>'4.1 Simulation'!E186</f>
        <v>2529700.0584876724</v>
      </c>
      <c r="G86" s="8">
        <f>'4.1 Simulation'!E294</f>
        <v>2630905.8555557835</v>
      </c>
      <c r="H86" s="8">
        <f>'4.1 Simulation'!E402</f>
        <v>2742052.767009257</v>
      </c>
      <c r="I86" s="8">
        <f>'4.1 Simulation'!E510</f>
        <v>2847817.552521201</v>
      </c>
    </row>
    <row r="88" ht="12.75">
      <c r="B88" s="9" t="s">
        <v>336</v>
      </c>
    </row>
    <row r="90" spans="2:9" ht="12.75">
      <c r="B90" t="s">
        <v>335</v>
      </c>
      <c r="E90" s="8">
        <f>'4.1 Simulation'!E132</f>
        <v>3393897.883726597</v>
      </c>
      <c r="F90" s="8">
        <f>'4.1 Simulation'!E240</f>
        <v>3529509.3568253117</v>
      </c>
      <c r="G90" s="8">
        <f>'4.1 Simulation'!E348</f>
        <v>3662638.9600525326</v>
      </c>
      <c r="H90" s="8">
        <f>'4.1 Simulation'!E456</f>
        <v>3826115.637350882</v>
      </c>
      <c r="I90" s="8">
        <f>'4.1 Simulation'!E564</f>
        <v>3977996.0207278184</v>
      </c>
    </row>
    <row r="93" ht="14.25">
      <c r="A93" s="38" t="s">
        <v>339</v>
      </c>
    </row>
    <row r="94" spans="5:9" ht="12.75">
      <c r="E94" s="6" t="s">
        <v>180</v>
      </c>
      <c r="F94" s="6" t="s">
        <v>181</v>
      </c>
      <c r="G94" s="6" t="s">
        <v>182</v>
      </c>
      <c r="H94" s="6" t="s">
        <v>183</v>
      </c>
      <c r="I94" s="6" t="s">
        <v>184</v>
      </c>
    </row>
    <row r="95" ht="12.75">
      <c r="B95" s="9" t="s">
        <v>195</v>
      </c>
    </row>
    <row r="96" ht="12.75">
      <c r="B96" s="9"/>
    </row>
    <row r="97" spans="3:9" ht="12.75">
      <c r="C97" s="9" t="s">
        <v>198</v>
      </c>
      <c r="E97" s="49">
        <f>E30-E86</f>
        <v>4364383.988895656</v>
      </c>
      <c r="F97" s="49">
        <f>F30-F86</f>
        <v>4542299.941512328</v>
      </c>
      <c r="G97" s="49">
        <f>G30-G86</f>
        <v>4723974.144444216</v>
      </c>
      <c r="H97" s="49">
        <f>H30-H86</f>
        <v>4907022.432990743</v>
      </c>
      <c r="I97" s="49">
        <f>I30-I86</f>
        <v>5107220.6554788</v>
      </c>
    </row>
    <row r="99" ht="12.75">
      <c r="B99" s="9" t="s">
        <v>196</v>
      </c>
    </row>
    <row r="100" ht="12.75">
      <c r="B100" s="9"/>
    </row>
    <row r="101" spans="3:9" ht="12.75">
      <c r="C101" s="9" t="s">
        <v>198</v>
      </c>
      <c r="E101" s="49">
        <f>E30-E90</f>
        <v>3406102.116273403</v>
      </c>
      <c r="F101" s="49">
        <f>F30-F90</f>
        <v>3542490.6431746883</v>
      </c>
      <c r="G101" s="49">
        <f>G30-G90</f>
        <v>3692241.0399474674</v>
      </c>
      <c r="H101" s="49">
        <f>H30-H90</f>
        <v>3822959.5626491182</v>
      </c>
      <c r="I101" s="49">
        <f>I30-I90</f>
        <v>3977042.187272182</v>
      </c>
    </row>
    <row r="104" spans="1:6" ht="14.25">
      <c r="A104" s="38" t="s">
        <v>340</v>
      </c>
      <c r="F104" s="10">
        <v>0.07</v>
      </c>
    </row>
    <row r="106" ht="12.75">
      <c r="B106" s="9" t="s">
        <v>195</v>
      </c>
    </row>
    <row r="107" spans="5:9" ht="12.75">
      <c r="E107">
        <v>1</v>
      </c>
      <c r="F107">
        <v>2</v>
      </c>
      <c r="G107">
        <v>3</v>
      </c>
      <c r="H107">
        <v>4</v>
      </c>
      <c r="I107">
        <v>5</v>
      </c>
    </row>
    <row r="108" ht="12.75">
      <c r="D108" s="5" t="s">
        <v>3</v>
      </c>
    </row>
    <row r="109" spans="4:10" ht="12.75">
      <c r="D109" s="6" t="s">
        <v>194</v>
      </c>
      <c r="E109" s="6" t="s">
        <v>180</v>
      </c>
      <c r="F109" s="6" t="s">
        <v>181</v>
      </c>
      <c r="G109" s="6" t="s">
        <v>182</v>
      </c>
      <c r="H109" s="6" t="s">
        <v>183</v>
      </c>
      <c r="I109" s="6" t="s">
        <v>184</v>
      </c>
      <c r="J109" s="6" t="s">
        <v>53</v>
      </c>
    </row>
    <row r="111" spans="2:10" ht="12.75">
      <c r="B111" t="s">
        <v>344</v>
      </c>
      <c r="D111" s="8">
        <f>-D45</f>
        <v>-8000000</v>
      </c>
      <c r="E111" s="8">
        <f>(1/(1+$F$104)^E107)*-E86</f>
        <v>-2276276.6458919104</v>
      </c>
      <c r="F111" s="8">
        <f>(1/(1+$F$104)^F107)*-F86</f>
        <v>-2209538.0019981414</v>
      </c>
      <c r="G111" s="8">
        <f>(1/(1+$F$104)^G107)*-G86</f>
        <v>-2147602.8641898963</v>
      </c>
      <c r="H111" s="8">
        <f>(1/(1+$F$104)^H107)*-H86</f>
        <v>-2091898.9271330303</v>
      </c>
      <c r="I111" s="8">
        <f>(1/(1+$F$104)^I107)*-I86</f>
        <v>-2030454.5566386222</v>
      </c>
      <c r="J111" s="8">
        <f>SUM(D111:I111)</f>
        <v>-18755770.9958516</v>
      </c>
    </row>
    <row r="112" spans="2:10" ht="12.75">
      <c r="B112" t="s">
        <v>345</v>
      </c>
      <c r="D112" s="70">
        <v>0</v>
      </c>
      <c r="E112" s="8">
        <f>(1/(1+$F$104)^E107)*E97</f>
        <v>4078863.541023977</v>
      </c>
      <c r="F112" s="8">
        <f>(1/(1+$F$104)^F107)*F97</f>
        <v>3967420.684350011</v>
      </c>
      <c r="G112" s="8">
        <f>(1/(1+$F$104)^G107)*G97</f>
        <v>3856170.064597092</v>
      </c>
      <c r="H112" s="8">
        <f>(1/(1+$F$104)^H107)*H97</f>
        <v>3743543.9195384355</v>
      </c>
      <c r="I112" s="8">
        <f>(1/(1+$F$104)^I107)*I97</f>
        <v>3641377.742929906</v>
      </c>
      <c r="J112" s="8">
        <f>SUM(D112:I112)</f>
        <v>19287375.95243942</v>
      </c>
    </row>
    <row r="113" spans="2:10" ht="12.75">
      <c r="B113" t="s">
        <v>3</v>
      </c>
      <c r="C113" t="s">
        <v>343</v>
      </c>
      <c r="E113" s="8">
        <f aca="true" t="shared" si="2" ref="E113:J113">SUM(E111:E112)</f>
        <v>1802586.8951320667</v>
      </c>
      <c r="F113" s="8">
        <f t="shared" si="2"/>
        <v>1757882.6823518695</v>
      </c>
      <c r="G113" s="8">
        <f t="shared" si="2"/>
        <v>1708567.2004071958</v>
      </c>
      <c r="H113" s="8">
        <f t="shared" si="2"/>
        <v>1651644.9924054053</v>
      </c>
      <c r="I113" s="8">
        <f t="shared" si="2"/>
        <v>1610923.186291284</v>
      </c>
      <c r="J113" s="8">
        <f t="shared" si="2"/>
        <v>531604.9565878212</v>
      </c>
    </row>
    <row r="114" spans="3:9" ht="12.75">
      <c r="C114" t="s">
        <v>346</v>
      </c>
      <c r="E114" s="8">
        <f>D111+E113</f>
        <v>-6197413.104867933</v>
      </c>
      <c r="F114" s="8">
        <f>E114+F113</f>
        <v>-4439530.422516064</v>
      </c>
      <c r="G114" s="8">
        <f>F114+G113</f>
        <v>-2730963.222108868</v>
      </c>
      <c r="H114" s="8">
        <f>G114+H113</f>
        <v>-1079318.2297034627</v>
      </c>
      <c r="I114" s="8">
        <f>H114+I113</f>
        <v>531604.9565878212</v>
      </c>
    </row>
    <row r="116" spans="8:10" ht="12.75">
      <c r="H116" s="9" t="s">
        <v>343</v>
      </c>
      <c r="I116" s="9"/>
      <c r="J116" s="49">
        <f>J113</f>
        <v>531604.9565878212</v>
      </c>
    </row>
    <row r="117" spans="8:10" ht="12.75">
      <c r="H117" s="9" t="s">
        <v>347</v>
      </c>
      <c r="I117" s="9"/>
      <c r="J117" s="71" t="s">
        <v>184</v>
      </c>
    </row>
    <row r="118" spans="8:10" ht="12.75">
      <c r="H118" s="9" t="s">
        <v>348</v>
      </c>
      <c r="I118" s="9"/>
      <c r="J118" s="28">
        <f>J113/-J111</f>
        <v>0.02834354059374054</v>
      </c>
    </row>
    <row r="120" ht="12.75">
      <c r="B120" s="9" t="s">
        <v>196</v>
      </c>
    </row>
    <row r="122" ht="12.75">
      <c r="D122" s="5" t="s">
        <v>3</v>
      </c>
    </row>
    <row r="123" spans="4:10" ht="12.75">
      <c r="D123" s="6" t="s">
        <v>194</v>
      </c>
      <c r="E123" s="6" t="s">
        <v>180</v>
      </c>
      <c r="F123" s="6" t="s">
        <v>181</v>
      </c>
      <c r="G123" s="6" t="s">
        <v>182</v>
      </c>
      <c r="H123" s="6" t="s">
        <v>183</v>
      </c>
      <c r="I123" s="6" t="s">
        <v>184</v>
      </c>
      <c r="J123" s="6" t="s">
        <v>53</v>
      </c>
    </row>
    <row r="125" spans="2:10" ht="12.75">
      <c r="B125" t="s">
        <v>341</v>
      </c>
      <c r="D125" s="8">
        <f>-D50</f>
        <v>-4500000</v>
      </c>
      <c r="E125" s="8">
        <f>(1/(1+$F$104)^E107)*-E90</f>
        <v>-3171867.1810528943</v>
      </c>
      <c r="F125" s="8">
        <f>(1/(1+$F$104)^F107)*-F90</f>
        <v>-3082810.164053901</v>
      </c>
      <c r="G125" s="8">
        <f>(1/(1+$F$104)^G107)*-G90</f>
        <v>-2989804.4069086</v>
      </c>
      <c r="H125" s="8">
        <f>(1/(1+$F$104)^H107)*-H90</f>
        <v>-2918925.300475153</v>
      </c>
      <c r="I125" s="8">
        <f>(1/(1+$F$104)^I107)*-I90</f>
        <v>-2836256.184819963</v>
      </c>
      <c r="J125" s="8">
        <f>SUM(D125:I125)</f>
        <v>-19499663.23731051</v>
      </c>
    </row>
    <row r="126" spans="2:10" ht="12.75">
      <c r="B126" t="s">
        <v>342</v>
      </c>
      <c r="D126" s="70"/>
      <c r="E126" s="8">
        <f>(1/(1+$F$104)^E107)*E101</f>
        <v>3183273.0058629937</v>
      </c>
      <c r="F126" s="8">
        <f>(1/(1+$F$104)^F107)*F101</f>
        <v>3094148.5222942512</v>
      </c>
      <c r="G126" s="8">
        <f>(1/(1+$F$104)^G107)*G101</f>
        <v>3013968.5218783887</v>
      </c>
      <c r="H126" s="8">
        <f>(1/(1+$F$104)^H107)*H101</f>
        <v>2916517.546196313</v>
      </c>
      <c r="I126" s="8">
        <f>(1/(1+$F$104)^I107)*I101</f>
        <v>2835576.114748565</v>
      </c>
      <c r="J126" s="8">
        <f>SUM(D126:I126)</f>
        <v>15043483.710980512</v>
      </c>
    </row>
    <row r="127" spans="2:10" ht="12.75">
      <c r="B127" t="s">
        <v>3</v>
      </c>
      <c r="C127" t="s">
        <v>343</v>
      </c>
      <c r="E127" s="8">
        <f aca="true" t="shared" si="3" ref="E127:J127">SUM(E125:E126)</f>
        <v>11405.824810099322</v>
      </c>
      <c r="F127" s="8">
        <f t="shared" si="3"/>
        <v>11338.35824035015</v>
      </c>
      <c r="G127" s="8">
        <f t="shared" si="3"/>
        <v>24164.114969788585</v>
      </c>
      <c r="H127" s="8">
        <f t="shared" si="3"/>
        <v>-2407.7542788400315</v>
      </c>
      <c r="I127" s="8">
        <f t="shared" si="3"/>
        <v>-680.0700713978149</v>
      </c>
      <c r="J127" s="8">
        <f t="shared" si="3"/>
        <v>-4456179.526329998</v>
      </c>
    </row>
    <row r="128" spans="3:9" ht="12.75">
      <c r="C128" t="s">
        <v>346</v>
      </c>
      <c r="E128" s="8">
        <f>D125+E127</f>
        <v>-4488594.175189901</v>
      </c>
      <c r="F128" s="8">
        <f>E128+F127</f>
        <v>-4477255.816949551</v>
      </c>
      <c r="G128" s="8">
        <f>F128+G127</f>
        <v>-4453091.701979762</v>
      </c>
      <c r="H128" s="8">
        <f>G128+H127</f>
        <v>-4455499.456258602</v>
      </c>
      <c r="I128" s="8">
        <f>H128+I127</f>
        <v>-4456179.52633</v>
      </c>
    </row>
    <row r="130" spans="8:10" ht="12.75">
      <c r="H130" s="9" t="s">
        <v>343</v>
      </c>
      <c r="I130" s="9"/>
      <c r="J130" s="49">
        <f>J127</f>
        <v>-4456179.526329998</v>
      </c>
    </row>
    <row r="131" spans="8:10" ht="12.75">
      <c r="H131" s="9" t="s">
        <v>347</v>
      </c>
      <c r="I131" s="9"/>
      <c r="J131" s="71" t="s">
        <v>349</v>
      </c>
    </row>
    <row r="132" spans="8:10" ht="12.75">
      <c r="H132" s="9" t="s">
        <v>348</v>
      </c>
      <c r="I132" s="9"/>
      <c r="J132" s="28">
        <f>J127/-J125</f>
        <v>-0.22852597360776863</v>
      </c>
    </row>
    <row r="135" ht="14.25">
      <c r="A135" s="38" t="s">
        <v>350</v>
      </c>
    </row>
    <row r="137" ht="12.75">
      <c r="B137" t="s">
        <v>351</v>
      </c>
    </row>
    <row r="138" ht="12.75">
      <c r="B138" t="s">
        <v>352</v>
      </c>
    </row>
    <row r="139" ht="12.75">
      <c r="B139" t="s">
        <v>353</v>
      </c>
    </row>
  </sheetData>
  <hyperlinks>
    <hyperlink ref="J1" location="'Main Menu'!A1" display="Main Menu"/>
  </hyperlinks>
  <printOptions/>
  <pageMargins left="0.2" right="0.28" top="1" bottom="1" header="0.5" footer="0.5"/>
  <pageSetup horizontalDpi="600" verticalDpi="600" orientation="landscape" paperSize="5" scale="65" r:id="rId4"/>
  <drawing r:id="rId3"/>
  <legacyDrawing r:id="rId2"/>
</worksheet>
</file>

<file path=xl/worksheets/sheet7.xml><?xml version="1.0" encoding="utf-8"?>
<worksheet xmlns="http://schemas.openxmlformats.org/spreadsheetml/2006/main" xmlns:r="http://schemas.openxmlformats.org/officeDocument/2006/relationships">
  <dimension ref="A1:J569"/>
  <sheetViews>
    <sheetView showGridLines="0" showRowColHeaders="0" workbookViewId="0" topLeftCell="A40">
      <selection activeCell="B1" sqref="B1"/>
    </sheetView>
  </sheetViews>
  <sheetFormatPr defaultColWidth="9.140625" defaultRowHeight="12.75"/>
  <cols>
    <col min="1" max="1" width="2.00390625" style="57" customWidth="1"/>
    <col min="2" max="2" width="1.8515625" style="57" customWidth="1"/>
    <col min="3" max="3" width="12.140625" style="57" customWidth="1"/>
    <col min="4" max="4" width="12.28125" style="57" customWidth="1"/>
    <col min="5" max="5" width="15.7109375" style="57" customWidth="1"/>
    <col min="6" max="6" width="1.7109375" style="58" customWidth="1"/>
    <col min="7" max="7" width="5.28125" style="57" customWidth="1"/>
    <col min="8" max="8" width="15.7109375" style="57" customWidth="1"/>
    <col min="9" max="9" width="11.140625" style="57" customWidth="1"/>
    <col min="10" max="10" width="2.7109375" style="59" customWidth="1"/>
    <col min="11" max="11" width="80.7109375" style="57" customWidth="1"/>
    <col min="12" max="16384" width="9.140625" style="57" customWidth="1"/>
  </cols>
  <sheetData>
    <row r="1" spans="5:6" ht="12.75">
      <c r="E1" s="56"/>
      <c r="F1" s="60" t="s">
        <v>224</v>
      </c>
    </row>
    <row r="2" ht="12.75">
      <c r="F2" s="58" t="s">
        <v>225</v>
      </c>
    </row>
    <row r="3" ht="12.75">
      <c r="F3" s="58" t="s">
        <v>226</v>
      </c>
    </row>
    <row r="5" ht="12.75">
      <c r="B5" s="57" t="s">
        <v>227</v>
      </c>
    </row>
    <row r="6" spans="3:5" ht="12.75">
      <c r="C6" s="57" t="s">
        <v>228</v>
      </c>
      <c r="E6" s="61">
        <v>5000</v>
      </c>
    </row>
    <row r="7" ht="12.75">
      <c r="C7" s="57" t="s">
        <v>229</v>
      </c>
    </row>
    <row r="8" ht="12.75">
      <c r="C8" s="57" t="s">
        <v>230</v>
      </c>
    </row>
    <row r="9" ht="12.75">
      <c r="C9" s="57" t="s">
        <v>231</v>
      </c>
    </row>
    <row r="10" spans="3:5" ht="12.75">
      <c r="C10" s="57" t="s">
        <v>232</v>
      </c>
      <c r="E10" s="62">
        <v>0.95</v>
      </c>
    </row>
    <row r="12" ht="12.75">
      <c r="B12" s="57" t="s">
        <v>233</v>
      </c>
    </row>
    <row r="13" spans="3:5" ht="12.75">
      <c r="C13" s="57" t="s">
        <v>234</v>
      </c>
      <c r="E13" s="63">
        <v>8.058688622124205</v>
      </c>
    </row>
    <row r="14" spans="3:5" ht="12.75">
      <c r="C14" s="57" t="s">
        <v>235</v>
      </c>
      <c r="E14" s="61">
        <v>620.4483427083998</v>
      </c>
    </row>
    <row r="15" spans="3:5" ht="12.75">
      <c r="C15" s="57" t="s">
        <v>236</v>
      </c>
      <c r="E15" s="61">
        <v>12408.966854167995</v>
      </c>
    </row>
    <row r="17" ht="12.75">
      <c r="B17" s="57" t="s">
        <v>237</v>
      </c>
    </row>
    <row r="18" spans="3:5" ht="12.75">
      <c r="C18" s="57" t="s">
        <v>238</v>
      </c>
      <c r="E18" s="57">
        <v>20</v>
      </c>
    </row>
    <row r="19" spans="3:5" ht="12.75">
      <c r="C19" s="57" t="s">
        <v>239</v>
      </c>
      <c r="E19" s="57">
        <v>0</v>
      </c>
    </row>
    <row r="20" spans="3:5" ht="12.75">
      <c r="C20" s="57" t="s">
        <v>240</v>
      </c>
      <c r="E20" s="57">
        <v>0</v>
      </c>
    </row>
    <row r="21" spans="3:5" ht="12.75">
      <c r="C21" s="57" t="s">
        <v>241</v>
      </c>
      <c r="E21" s="57">
        <v>0</v>
      </c>
    </row>
    <row r="22" spans="3:5" ht="12.75">
      <c r="C22" s="57" t="s">
        <v>242</v>
      </c>
      <c r="E22" s="57">
        <v>10</v>
      </c>
    </row>
    <row r="24" ht="12.75">
      <c r="F24" s="60" t="s">
        <v>242</v>
      </c>
    </row>
    <row r="27" ht="12.75">
      <c r="A27" s="64" t="s">
        <v>243</v>
      </c>
    </row>
    <row r="29" spans="1:10" ht="12.75">
      <c r="A29" s="64" t="s">
        <v>244</v>
      </c>
      <c r="B29" s="64"/>
      <c r="C29" s="64"/>
      <c r="D29" s="64"/>
      <c r="E29" s="64"/>
      <c r="F29" s="60"/>
      <c r="G29" s="64"/>
      <c r="H29" s="64"/>
      <c r="I29" s="64"/>
      <c r="J29" s="65" t="s">
        <v>245</v>
      </c>
    </row>
    <row r="31" ht="12.75">
      <c r="B31" s="57" t="s">
        <v>246</v>
      </c>
    </row>
    <row r="32" ht="12.75">
      <c r="C32" s="57" t="s">
        <v>247</v>
      </c>
    </row>
    <row r="33" ht="12.75">
      <c r="C33" s="57" t="s">
        <v>248</v>
      </c>
    </row>
    <row r="34" ht="12.75">
      <c r="C34" s="57" t="s">
        <v>249</v>
      </c>
    </row>
    <row r="37" ht="12.75"/>
    <row r="38" ht="12.75"/>
    <row r="39" ht="12.75"/>
    <row r="40" ht="12.75"/>
    <row r="41" ht="12.75"/>
    <row r="42" ht="12.75"/>
    <row r="43" ht="12.75"/>
    <row r="44" ht="12.75"/>
    <row r="45" ht="12.75"/>
    <row r="46" ht="12.75"/>
    <row r="47" ht="12.75"/>
    <row r="48" ht="12.75"/>
    <row r="49" ht="12.75"/>
    <row r="50" ht="12.75"/>
    <row r="51" ht="12.75"/>
    <row r="53" spans="2:5" ht="12.75">
      <c r="B53" s="57" t="s">
        <v>250</v>
      </c>
      <c r="E53" s="66" t="s">
        <v>251</v>
      </c>
    </row>
    <row r="54" spans="3:5" ht="12.75">
      <c r="C54" s="57" t="s">
        <v>252</v>
      </c>
      <c r="E54" s="61">
        <v>5000</v>
      </c>
    </row>
    <row r="55" spans="3:5" ht="12.75">
      <c r="C55" s="57" t="s">
        <v>253</v>
      </c>
      <c r="E55" s="61">
        <v>2393739.264809813</v>
      </c>
    </row>
    <row r="56" spans="3:5" ht="12.75">
      <c r="C56" s="57" t="s">
        <v>254</v>
      </c>
      <c r="E56" s="61">
        <v>2385692.297455627</v>
      </c>
    </row>
    <row r="57" spans="3:5" ht="12.75">
      <c r="C57" s="57" t="s">
        <v>255</v>
      </c>
      <c r="E57" s="67" t="s">
        <v>264</v>
      </c>
    </row>
    <row r="58" spans="3:5" ht="12.75">
      <c r="C58" s="57" t="s">
        <v>62</v>
      </c>
      <c r="E58" s="61">
        <v>84169.41770473588</v>
      </c>
    </row>
    <row r="59" spans="3:5" ht="12.75">
      <c r="C59" s="57" t="s">
        <v>256</v>
      </c>
      <c r="E59" s="61">
        <v>7084490876.754307</v>
      </c>
    </row>
    <row r="60" spans="3:5" ht="12.75">
      <c r="C60" s="57" t="s">
        <v>257</v>
      </c>
      <c r="E60" s="68">
        <v>0.3379375091825012</v>
      </c>
    </row>
    <row r="61" spans="3:5" ht="12.75">
      <c r="C61" s="57" t="s">
        <v>258</v>
      </c>
      <c r="E61" s="69">
        <v>2.5330530683942567</v>
      </c>
    </row>
    <row r="62" spans="3:5" ht="12.75">
      <c r="C62" s="57" t="s">
        <v>259</v>
      </c>
      <c r="E62" s="68">
        <v>0.03516231652381877</v>
      </c>
    </row>
    <row r="63" spans="3:5" ht="12.75">
      <c r="C63" s="57" t="s">
        <v>260</v>
      </c>
      <c r="E63" s="61">
        <v>2211553.6932520946</v>
      </c>
    </row>
    <row r="64" spans="3:5" ht="12.75">
      <c r="C64" s="57" t="s">
        <v>261</v>
      </c>
      <c r="E64" s="61">
        <v>2653805.2658437253</v>
      </c>
    </row>
    <row r="65" spans="3:5" ht="12.75">
      <c r="C65" s="57" t="s">
        <v>262</v>
      </c>
      <c r="E65" s="61">
        <v>442251.57259163074</v>
      </c>
    </row>
    <row r="66" spans="3:5" ht="12.75">
      <c r="C66" s="57" t="s">
        <v>263</v>
      </c>
      <c r="E66" s="61">
        <v>1190.3353205508358</v>
      </c>
    </row>
    <row r="68" spans="1:10" ht="12.75">
      <c r="A68" s="64" t="s">
        <v>265</v>
      </c>
      <c r="B68" s="64"/>
      <c r="C68" s="64"/>
      <c r="D68" s="64"/>
      <c r="E68" s="64"/>
      <c r="F68" s="60"/>
      <c r="G68" s="64"/>
      <c r="H68" s="64"/>
      <c r="I68" s="64"/>
      <c r="J68" s="65" t="s">
        <v>245</v>
      </c>
    </row>
    <row r="70" spans="2:5" ht="12.75">
      <c r="B70" s="57" t="s">
        <v>266</v>
      </c>
      <c r="E70" s="66" t="s">
        <v>251</v>
      </c>
    </row>
    <row r="71" spans="3:5" ht="12.75">
      <c r="C71" s="57" t="s">
        <v>267</v>
      </c>
      <c r="E71" s="61">
        <v>2211553.6932520946</v>
      </c>
    </row>
    <row r="72" spans="3:5" ht="12.75">
      <c r="C72" s="57" t="s">
        <v>268</v>
      </c>
      <c r="E72" s="61">
        <v>2287489.380738213</v>
      </c>
    </row>
    <row r="73" spans="3:5" ht="12.75">
      <c r="C73" s="57" t="s">
        <v>269</v>
      </c>
      <c r="E73" s="61">
        <v>2317399.695081608</v>
      </c>
    </row>
    <row r="74" spans="3:5" ht="12.75">
      <c r="C74" s="57" t="s">
        <v>270</v>
      </c>
      <c r="E74" s="61">
        <v>2342518.8108491413</v>
      </c>
    </row>
    <row r="75" spans="3:5" ht="12.75">
      <c r="C75" s="57" t="s">
        <v>271</v>
      </c>
      <c r="E75" s="61">
        <v>2364509.1138169332</v>
      </c>
    </row>
    <row r="76" spans="3:5" ht="12.75">
      <c r="C76" s="57" t="s">
        <v>272</v>
      </c>
      <c r="E76" s="61">
        <v>2385631.6574885435</v>
      </c>
    </row>
    <row r="77" spans="3:5" ht="12.75">
      <c r="C77" s="57" t="s">
        <v>273</v>
      </c>
      <c r="E77" s="61">
        <v>2410037.4316172744</v>
      </c>
    </row>
    <row r="78" spans="3:5" ht="12.75">
      <c r="C78" s="57" t="s">
        <v>274</v>
      </c>
      <c r="E78" s="61">
        <v>2435616.0111043444</v>
      </c>
    </row>
    <row r="79" spans="3:5" ht="12.75">
      <c r="C79" s="57" t="s">
        <v>275</v>
      </c>
      <c r="E79" s="61">
        <v>2469011.723485656</v>
      </c>
    </row>
    <row r="80" spans="3:5" ht="12.75">
      <c r="C80" s="57" t="s">
        <v>276</v>
      </c>
      <c r="E80" s="61">
        <v>2512698.371882184</v>
      </c>
    </row>
    <row r="81" spans="3:5" ht="12.75">
      <c r="C81" s="57" t="s">
        <v>277</v>
      </c>
      <c r="E81" s="61">
        <v>2653805.2658437258</v>
      </c>
    </row>
    <row r="83" spans="1:10" ht="12.75">
      <c r="A83" s="64" t="s">
        <v>278</v>
      </c>
      <c r="B83" s="64"/>
      <c r="C83" s="64"/>
      <c r="D83" s="64"/>
      <c r="E83" s="64"/>
      <c r="F83" s="60"/>
      <c r="G83" s="64"/>
      <c r="H83" s="64"/>
      <c r="I83" s="64"/>
      <c r="J83" s="65" t="s">
        <v>279</v>
      </c>
    </row>
    <row r="85" ht="12.75">
      <c r="B85" s="57" t="s">
        <v>246</v>
      </c>
    </row>
    <row r="86" ht="12.75">
      <c r="C86" s="57" t="s">
        <v>280</v>
      </c>
    </row>
    <row r="87" ht="12.75">
      <c r="C87" s="57" t="s">
        <v>281</v>
      </c>
    </row>
    <row r="88" ht="12.75">
      <c r="C88" s="57" t="s">
        <v>282</v>
      </c>
    </row>
    <row r="91" ht="12.75"/>
    <row r="92" ht="12.75"/>
    <row r="93" ht="12.75"/>
    <row r="94" ht="12.75"/>
    <row r="95" ht="12.75"/>
    <row r="96" ht="12.75"/>
    <row r="97" ht="12.75"/>
    <row r="98" ht="12.75"/>
    <row r="99" ht="12.75"/>
    <row r="100" ht="12.75"/>
    <row r="101" ht="12.75"/>
    <row r="102" ht="12.75"/>
    <row r="103" ht="12.75"/>
    <row r="104" ht="12.75"/>
    <row r="105" ht="12.75"/>
    <row r="107" spans="2:5" ht="12.75">
      <c r="B107" s="57" t="s">
        <v>250</v>
      </c>
      <c r="E107" s="66" t="s">
        <v>251</v>
      </c>
    </row>
    <row r="108" spans="3:5" ht="12.75">
      <c r="C108" s="57" t="s">
        <v>252</v>
      </c>
      <c r="E108" s="61">
        <v>5000</v>
      </c>
    </row>
    <row r="109" spans="3:5" ht="12.75">
      <c r="C109" s="57" t="s">
        <v>253</v>
      </c>
      <c r="E109" s="61">
        <v>3274045.156486109</v>
      </c>
    </row>
    <row r="110" spans="3:5" ht="12.75">
      <c r="C110" s="57" t="s">
        <v>254</v>
      </c>
      <c r="E110" s="61">
        <v>3241226.553370006</v>
      </c>
    </row>
    <row r="111" spans="3:5" ht="12.75">
      <c r="C111" s="57" t="s">
        <v>255</v>
      </c>
      <c r="E111" s="67" t="s">
        <v>264</v>
      </c>
    </row>
    <row r="112" spans="3:5" ht="12.75">
      <c r="C112" s="57" t="s">
        <v>62</v>
      </c>
      <c r="E112" s="61">
        <v>240645.41397249527</v>
      </c>
    </row>
    <row r="113" spans="3:5" ht="12.75">
      <c r="C113" s="57" t="s">
        <v>256</v>
      </c>
      <c r="E113" s="61">
        <v>57910215265.99362</v>
      </c>
    </row>
    <row r="114" spans="3:5" ht="12.75">
      <c r="C114" s="57" t="s">
        <v>257</v>
      </c>
      <c r="E114" s="68">
        <v>0.44914959120332115</v>
      </c>
    </row>
    <row r="115" spans="3:5" ht="12.75">
      <c r="C115" s="57" t="s">
        <v>258</v>
      </c>
      <c r="E115" s="69">
        <v>2.447747904149994</v>
      </c>
    </row>
    <row r="116" spans="3:5" ht="12.75">
      <c r="C116" s="57" t="s">
        <v>259</v>
      </c>
      <c r="E116" s="68">
        <v>0.07350094530485023</v>
      </c>
    </row>
    <row r="117" spans="3:5" ht="12.75">
      <c r="C117" s="57" t="s">
        <v>260</v>
      </c>
      <c r="E117" s="61">
        <v>2763903.212210087</v>
      </c>
    </row>
    <row r="118" spans="3:5" ht="12.75">
      <c r="C118" s="57" t="s">
        <v>261</v>
      </c>
      <c r="E118" s="61">
        <v>4017438.288366695</v>
      </c>
    </row>
    <row r="119" spans="3:5" ht="12.75">
      <c r="C119" s="57" t="s">
        <v>262</v>
      </c>
      <c r="E119" s="61">
        <v>1253535.0761566078</v>
      </c>
    </row>
    <row r="120" spans="3:5" ht="12.75">
      <c r="C120" s="57" t="s">
        <v>263</v>
      </c>
      <c r="E120" s="61">
        <v>3403.2400816279073</v>
      </c>
    </row>
    <row r="122" spans="1:10" ht="12.75">
      <c r="A122" s="64" t="s">
        <v>283</v>
      </c>
      <c r="B122" s="64"/>
      <c r="C122" s="64"/>
      <c r="D122" s="64"/>
      <c r="E122" s="64"/>
      <c r="F122" s="60"/>
      <c r="G122" s="64"/>
      <c r="H122" s="64"/>
      <c r="I122" s="64"/>
      <c r="J122" s="65" t="s">
        <v>279</v>
      </c>
    </row>
    <row r="124" spans="2:5" ht="12.75">
      <c r="B124" s="57" t="s">
        <v>266</v>
      </c>
      <c r="E124" s="66" t="s">
        <v>251</v>
      </c>
    </row>
    <row r="125" spans="3:5" ht="12.75">
      <c r="C125" s="57" t="s">
        <v>267</v>
      </c>
      <c r="E125" s="61">
        <v>2763903.212210087</v>
      </c>
    </row>
    <row r="126" spans="3:5" ht="12.75">
      <c r="C126" s="57" t="s">
        <v>268</v>
      </c>
      <c r="E126" s="61">
        <v>2985783.8951126416</v>
      </c>
    </row>
    <row r="127" spans="3:5" ht="12.75">
      <c r="C127" s="57" t="s">
        <v>269</v>
      </c>
      <c r="E127" s="61">
        <v>3054535.940072309</v>
      </c>
    </row>
    <row r="128" spans="3:5" ht="12.75">
      <c r="C128" s="57" t="s">
        <v>270</v>
      </c>
      <c r="E128" s="61">
        <v>3111467.703522851</v>
      </c>
    </row>
    <row r="129" spans="3:5" ht="12.75">
      <c r="C129" s="57" t="s">
        <v>271</v>
      </c>
      <c r="E129" s="61">
        <v>3173102.3604462426</v>
      </c>
    </row>
    <row r="130" spans="3:5" ht="12.75">
      <c r="C130" s="57" t="s">
        <v>272</v>
      </c>
      <c r="E130" s="61">
        <v>3241183.052423338</v>
      </c>
    </row>
    <row r="131" spans="3:5" ht="12.75">
      <c r="C131" s="57" t="s">
        <v>273</v>
      </c>
      <c r="E131" s="61">
        <v>3313017.4950615107</v>
      </c>
    </row>
    <row r="132" spans="3:5" ht="12.75">
      <c r="C132" s="57" t="s">
        <v>274</v>
      </c>
      <c r="E132" s="61">
        <v>3393897.883726597</v>
      </c>
    </row>
    <row r="133" spans="3:5" ht="12.75">
      <c r="C133" s="57" t="s">
        <v>275</v>
      </c>
      <c r="E133" s="61">
        <v>3494785.8453239645</v>
      </c>
    </row>
    <row r="134" spans="3:5" ht="12.75">
      <c r="C134" s="57" t="s">
        <v>276</v>
      </c>
      <c r="E134" s="61">
        <v>3627678.120361124</v>
      </c>
    </row>
    <row r="135" spans="3:5" ht="12.75">
      <c r="C135" s="57" t="s">
        <v>277</v>
      </c>
      <c r="E135" s="61">
        <v>4017438.288366695</v>
      </c>
    </row>
    <row r="137" spans="1:10" ht="12.75">
      <c r="A137" s="64" t="s">
        <v>284</v>
      </c>
      <c r="B137" s="64"/>
      <c r="C137" s="64"/>
      <c r="D137" s="64"/>
      <c r="E137" s="64"/>
      <c r="F137" s="60"/>
      <c r="G137" s="64"/>
      <c r="H137" s="64"/>
      <c r="I137" s="64"/>
      <c r="J137" s="65" t="s">
        <v>285</v>
      </c>
    </row>
    <row r="139" ht="12.75">
      <c r="B139" s="57" t="s">
        <v>246</v>
      </c>
    </row>
    <row r="140" ht="12.75">
      <c r="C140" s="57" t="s">
        <v>286</v>
      </c>
    </row>
    <row r="141" ht="12.75">
      <c r="C141" s="57" t="s">
        <v>287</v>
      </c>
    </row>
    <row r="142" ht="12.75">
      <c r="C142" s="57" t="s">
        <v>288</v>
      </c>
    </row>
    <row r="145" ht="12.75"/>
    <row r="146" ht="12.75"/>
    <row r="147" ht="12.75"/>
    <row r="148" ht="12.75"/>
    <row r="149" ht="12.75"/>
    <row r="150" ht="12.75"/>
    <row r="151" ht="12.75"/>
    <row r="152" ht="12.75"/>
    <row r="153" ht="12.75"/>
    <row r="154" ht="12.75"/>
    <row r="155" ht="12.75"/>
    <row r="156" ht="12.75"/>
    <row r="157" ht="12.75"/>
    <row r="158" ht="12.75"/>
    <row r="159" ht="12.75"/>
    <row r="161" spans="2:5" ht="12.75">
      <c r="B161" s="57" t="s">
        <v>250</v>
      </c>
      <c r="E161" s="66" t="s">
        <v>251</v>
      </c>
    </row>
    <row r="162" spans="3:5" ht="12.75">
      <c r="C162" s="57" t="s">
        <v>252</v>
      </c>
      <c r="E162" s="61">
        <v>5000</v>
      </c>
    </row>
    <row r="163" spans="3:5" ht="12.75">
      <c r="C163" s="57" t="s">
        <v>253</v>
      </c>
      <c r="E163" s="61">
        <v>2488561.1098868</v>
      </c>
    </row>
    <row r="164" spans="3:5" ht="12.75">
      <c r="C164" s="57" t="s">
        <v>254</v>
      </c>
      <c r="E164" s="61">
        <v>2479043.763397252</v>
      </c>
    </row>
    <row r="165" spans="3:5" ht="12.75">
      <c r="C165" s="57" t="s">
        <v>255</v>
      </c>
      <c r="E165" s="67" t="s">
        <v>264</v>
      </c>
    </row>
    <row r="166" spans="3:5" ht="12.75">
      <c r="C166" s="57" t="s">
        <v>62</v>
      </c>
      <c r="E166" s="61">
        <v>85645.92611195584</v>
      </c>
    </row>
    <row r="167" spans="3:5" ht="12.75">
      <c r="C167" s="57" t="s">
        <v>256</v>
      </c>
      <c r="E167" s="61">
        <v>7335224659.574599</v>
      </c>
    </row>
    <row r="168" spans="3:5" ht="12.75">
      <c r="C168" s="57" t="s">
        <v>257</v>
      </c>
      <c r="E168" s="68">
        <v>0.3992600102921551</v>
      </c>
    </row>
    <row r="169" spans="3:5" ht="12.75">
      <c r="C169" s="57" t="s">
        <v>258</v>
      </c>
      <c r="E169" s="69">
        <v>2.65616926426253</v>
      </c>
    </row>
    <row r="170" spans="3:5" ht="12.75">
      <c r="C170" s="57" t="s">
        <v>259</v>
      </c>
      <c r="E170" s="68">
        <v>0.03441584205896865</v>
      </c>
    </row>
    <row r="171" spans="3:5" ht="12.75">
      <c r="C171" s="57" t="s">
        <v>260</v>
      </c>
      <c r="E171" s="61">
        <v>2287719.9256939534</v>
      </c>
    </row>
    <row r="172" spans="3:5" ht="12.75">
      <c r="C172" s="57" t="s">
        <v>261</v>
      </c>
      <c r="E172" s="61">
        <v>2774569.219011075</v>
      </c>
    </row>
    <row r="173" spans="3:5" ht="12.75">
      <c r="C173" s="57" t="s">
        <v>262</v>
      </c>
      <c r="E173" s="61">
        <v>486849.29331712145</v>
      </c>
    </row>
    <row r="174" spans="3:5" ht="12.75">
      <c r="C174" s="57" t="s">
        <v>263</v>
      </c>
      <c r="E174" s="61">
        <v>1211.2163026953194</v>
      </c>
    </row>
    <row r="176" spans="1:10" ht="12.75">
      <c r="A176" s="64" t="s">
        <v>289</v>
      </c>
      <c r="B176" s="64"/>
      <c r="C176" s="64"/>
      <c r="D176" s="64"/>
      <c r="E176" s="64"/>
      <c r="F176" s="60"/>
      <c r="G176" s="64"/>
      <c r="H176" s="64"/>
      <c r="I176" s="64"/>
      <c r="J176" s="65" t="s">
        <v>285</v>
      </c>
    </row>
    <row r="178" spans="2:5" ht="12.75">
      <c r="B178" s="57" t="s">
        <v>266</v>
      </c>
      <c r="E178" s="66" t="s">
        <v>251</v>
      </c>
    </row>
    <row r="179" spans="3:5" ht="12.75">
      <c r="C179" s="57" t="s">
        <v>267</v>
      </c>
      <c r="E179" s="61">
        <v>2287719.9256939534</v>
      </c>
    </row>
    <row r="180" spans="3:5" ht="12.75">
      <c r="C180" s="57" t="s">
        <v>268</v>
      </c>
      <c r="E180" s="61">
        <v>2383158.344966993</v>
      </c>
    </row>
    <row r="181" spans="3:5" ht="12.75">
      <c r="C181" s="57" t="s">
        <v>269</v>
      </c>
      <c r="E181" s="61">
        <v>2413458.0972317443</v>
      </c>
    </row>
    <row r="182" spans="3:5" ht="12.75">
      <c r="C182" s="57" t="s">
        <v>270</v>
      </c>
      <c r="E182" s="61">
        <v>2435151.217778229</v>
      </c>
    </row>
    <row r="183" spans="3:5" ht="12.75">
      <c r="C183" s="57" t="s">
        <v>271</v>
      </c>
      <c r="E183" s="61">
        <v>2457423.3469546633</v>
      </c>
    </row>
    <row r="184" spans="3:5" ht="12.75">
      <c r="C184" s="57" t="s">
        <v>272</v>
      </c>
      <c r="E184" s="61">
        <v>2478970.2054976574</v>
      </c>
    </row>
    <row r="185" spans="3:5" ht="12.75">
      <c r="C185" s="57" t="s">
        <v>273</v>
      </c>
      <c r="E185" s="61">
        <v>2503338.47466609</v>
      </c>
    </row>
    <row r="186" spans="3:5" ht="12.75">
      <c r="C186" s="57" t="s">
        <v>274</v>
      </c>
      <c r="E186" s="61">
        <v>2529700.0584876724</v>
      </c>
    </row>
    <row r="187" spans="3:5" ht="12.75">
      <c r="C187" s="57" t="s">
        <v>275</v>
      </c>
      <c r="E187" s="61">
        <v>2564894.225901304</v>
      </c>
    </row>
    <row r="188" spans="3:5" ht="12.75">
      <c r="C188" s="57" t="s">
        <v>276</v>
      </c>
      <c r="E188" s="61">
        <v>2608195.1731136004</v>
      </c>
    </row>
    <row r="189" spans="3:5" ht="12.75">
      <c r="C189" s="57" t="s">
        <v>277</v>
      </c>
      <c r="E189" s="61">
        <v>2774569.2190110753</v>
      </c>
    </row>
    <row r="191" spans="1:10" ht="12.75">
      <c r="A191" s="64" t="s">
        <v>290</v>
      </c>
      <c r="B191" s="64"/>
      <c r="C191" s="64"/>
      <c r="D191" s="64"/>
      <c r="E191" s="64"/>
      <c r="F191" s="60"/>
      <c r="G191" s="64"/>
      <c r="H191" s="64"/>
      <c r="I191" s="64"/>
      <c r="J191" s="65" t="s">
        <v>291</v>
      </c>
    </row>
    <row r="193" ht="12.75">
      <c r="B193" s="57" t="s">
        <v>246</v>
      </c>
    </row>
    <row r="194" ht="12.75">
      <c r="C194" s="57" t="s">
        <v>292</v>
      </c>
    </row>
    <row r="195" ht="12.75">
      <c r="C195" s="57" t="s">
        <v>293</v>
      </c>
    </row>
    <row r="196" ht="12.75">
      <c r="C196" s="57" t="s">
        <v>294</v>
      </c>
    </row>
    <row r="198" ht="12.75"/>
    <row r="199" ht="12.75"/>
    <row r="200" ht="12.75"/>
    <row r="201" ht="12.75"/>
    <row r="202" ht="12.75"/>
    <row r="203" ht="12.75"/>
    <row r="204" ht="12.75"/>
    <row r="205" ht="12.75"/>
    <row r="206" ht="12.75"/>
    <row r="207" ht="12.75"/>
    <row r="208" ht="12.75"/>
    <row r="209" ht="12.75"/>
    <row r="210" ht="12.75"/>
    <row r="211" ht="12.75"/>
    <row r="212" ht="12.75"/>
    <row r="213" ht="12.75"/>
    <row r="215" spans="2:5" ht="12.75">
      <c r="B215" s="57" t="s">
        <v>250</v>
      </c>
      <c r="E215" s="66" t="s">
        <v>251</v>
      </c>
    </row>
    <row r="216" spans="3:5" ht="12.75">
      <c r="C216" s="57" t="s">
        <v>252</v>
      </c>
      <c r="E216" s="61">
        <v>5000</v>
      </c>
    </row>
    <row r="217" spans="3:5" ht="12.75">
      <c r="C217" s="57" t="s">
        <v>253</v>
      </c>
      <c r="E217" s="61">
        <v>3403487.8379701716</v>
      </c>
    </row>
    <row r="218" spans="3:5" ht="12.75">
      <c r="C218" s="57" t="s">
        <v>254</v>
      </c>
      <c r="E218" s="61">
        <v>3366802.70963721</v>
      </c>
    </row>
    <row r="219" spans="3:5" ht="12.75">
      <c r="C219" s="57" t="s">
        <v>255</v>
      </c>
      <c r="E219" s="67" t="s">
        <v>264</v>
      </c>
    </row>
    <row r="220" spans="3:5" ht="12.75">
      <c r="C220" s="57" t="s">
        <v>62</v>
      </c>
      <c r="E220" s="61">
        <v>251390.69257976257</v>
      </c>
    </row>
    <row r="221" spans="3:5" ht="12.75">
      <c r="C221" s="57" t="s">
        <v>256</v>
      </c>
      <c r="E221" s="61">
        <v>63197280315.7327</v>
      </c>
    </row>
    <row r="222" spans="3:5" ht="12.75">
      <c r="C222" s="57" t="s">
        <v>257</v>
      </c>
      <c r="E222" s="68">
        <v>0.4327123677517399</v>
      </c>
    </row>
    <row r="223" spans="3:5" ht="12.75">
      <c r="C223" s="57" t="s">
        <v>258</v>
      </c>
      <c r="E223" s="69">
        <v>2.469482539334253</v>
      </c>
    </row>
    <row r="224" spans="3:5" ht="12.75">
      <c r="C224" s="57" t="s">
        <v>259</v>
      </c>
      <c r="E224" s="68">
        <v>0.07386266810628332</v>
      </c>
    </row>
    <row r="225" spans="3:5" ht="12.75">
      <c r="C225" s="57" t="s">
        <v>260</v>
      </c>
      <c r="E225" s="61">
        <v>2885079.7200247524</v>
      </c>
    </row>
    <row r="226" spans="3:5" ht="12.75">
      <c r="C226" s="57" t="s">
        <v>261</v>
      </c>
      <c r="E226" s="61">
        <v>4151454.2431638353</v>
      </c>
    </row>
    <row r="227" spans="3:5" ht="12.75">
      <c r="C227" s="57" t="s">
        <v>262</v>
      </c>
      <c r="E227" s="61">
        <v>1266374.5231390828</v>
      </c>
    </row>
    <row r="228" spans="3:5" ht="12.75">
      <c r="C228" s="57" t="s">
        <v>263</v>
      </c>
      <c r="E228" s="61">
        <v>3555.2012690066563</v>
      </c>
    </row>
    <row r="230" spans="1:10" ht="12.75">
      <c r="A230" s="64" t="s">
        <v>295</v>
      </c>
      <c r="B230" s="64"/>
      <c r="C230" s="64"/>
      <c r="D230" s="64"/>
      <c r="E230" s="64"/>
      <c r="F230" s="60"/>
      <c r="G230" s="64"/>
      <c r="H230" s="64"/>
      <c r="I230" s="64"/>
      <c r="J230" s="65" t="s">
        <v>291</v>
      </c>
    </row>
    <row r="232" spans="2:5" ht="12.75">
      <c r="B232" s="57" t="s">
        <v>266</v>
      </c>
      <c r="E232" s="66" t="s">
        <v>251</v>
      </c>
    </row>
    <row r="233" spans="3:5" ht="12.75">
      <c r="C233" s="57" t="s">
        <v>267</v>
      </c>
      <c r="E233" s="61">
        <v>2885079.7200247524</v>
      </c>
    </row>
    <row r="234" spans="3:5" ht="12.75">
      <c r="C234" s="57" t="s">
        <v>268</v>
      </c>
      <c r="E234" s="61">
        <v>3097540.372651427</v>
      </c>
    </row>
    <row r="235" spans="3:5" ht="12.75">
      <c r="C235" s="57" t="s">
        <v>269</v>
      </c>
      <c r="E235" s="61">
        <v>3172634.7469448317</v>
      </c>
    </row>
    <row r="236" spans="3:5" ht="12.75">
      <c r="C236" s="57" t="s">
        <v>270</v>
      </c>
      <c r="E236" s="61">
        <v>3238313.0352378795</v>
      </c>
    </row>
    <row r="237" spans="3:5" ht="12.75">
      <c r="C237" s="57" t="s">
        <v>271</v>
      </c>
      <c r="E237" s="61">
        <v>3303788.859503393</v>
      </c>
    </row>
    <row r="238" spans="3:5" ht="12.75">
      <c r="C238" s="57" t="s">
        <v>272</v>
      </c>
      <c r="E238" s="61">
        <v>3366796.0993136438</v>
      </c>
    </row>
    <row r="239" spans="3:5" ht="12.75">
      <c r="C239" s="57" t="s">
        <v>273</v>
      </c>
      <c r="E239" s="61">
        <v>3448399.472994501</v>
      </c>
    </row>
    <row r="240" spans="3:5" ht="12.75">
      <c r="C240" s="57" t="s">
        <v>274</v>
      </c>
      <c r="E240" s="61">
        <v>3529509.3568253117</v>
      </c>
    </row>
    <row r="241" spans="3:5" ht="12.75">
      <c r="C241" s="57" t="s">
        <v>275</v>
      </c>
      <c r="E241" s="61">
        <v>3629672.386801105</v>
      </c>
    </row>
    <row r="242" spans="3:5" ht="12.75">
      <c r="C242" s="57" t="s">
        <v>276</v>
      </c>
      <c r="E242" s="61">
        <v>3764770.211797665</v>
      </c>
    </row>
    <row r="243" spans="3:5" ht="12.75">
      <c r="C243" s="57" t="s">
        <v>277</v>
      </c>
      <c r="E243" s="61">
        <v>4151454.2431638353</v>
      </c>
    </row>
    <row r="245" spans="1:10" ht="12.75">
      <c r="A245" s="64" t="s">
        <v>296</v>
      </c>
      <c r="B245" s="64"/>
      <c r="C245" s="64"/>
      <c r="D245" s="64"/>
      <c r="E245" s="64"/>
      <c r="F245" s="60"/>
      <c r="G245" s="64"/>
      <c r="H245" s="64"/>
      <c r="I245" s="64"/>
      <c r="J245" s="65" t="s">
        <v>297</v>
      </c>
    </row>
    <row r="247" ht="12.75">
      <c r="B247" s="57" t="s">
        <v>246</v>
      </c>
    </row>
    <row r="248" ht="12.75">
      <c r="C248" s="57" t="s">
        <v>298</v>
      </c>
    </row>
    <row r="249" ht="12.75">
      <c r="C249" s="57" t="s">
        <v>299</v>
      </c>
    </row>
    <row r="250" ht="12.75">
      <c r="C250" s="57" t="s">
        <v>300</v>
      </c>
    </row>
    <row r="253" ht="12.75"/>
    <row r="254" ht="12.75"/>
    <row r="255" ht="12.75"/>
    <row r="256" ht="12.75"/>
    <row r="257" ht="12.75"/>
    <row r="258" ht="12.75"/>
    <row r="259" ht="12.75"/>
    <row r="260" ht="12.75"/>
    <row r="261" ht="12.75"/>
    <row r="262" ht="12.75"/>
    <row r="263" ht="12.75"/>
    <row r="264" ht="12.75"/>
    <row r="265" ht="12.75"/>
    <row r="266" ht="12.75"/>
    <row r="267" ht="12.75"/>
    <row r="269" spans="2:5" ht="12.75">
      <c r="B269" s="57" t="s">
        <v>250</v>
      </c>
      <c r="E269" s="66" t="s">
        <v>251</v>
      </c>
    </row>
    <row r="270" spans="3:5" ht="12.75">
      <c r="C270" s="57" t="s">
        <v>252</v>
      </c>
      <c r="E270" s="61">
        <v>5000</v>
      </c>
    </row>
    <row r="271" spans="3:5" ht="12.75">
      <c r="C271" s="57" t="s">
        <v>253</v>
      </c>
      <c r="E271" s="61">
        <v>2586299.1198661407</v>
      </c>
    </row>
    <row r="272" spans="3:5" ht="12.75">
      <c r="C272" s="57" t="s">
        <v>254</v>
      </c>
      <c r="E272" s="61">
        <v>2578097.822527456</v>
      </c>
    </row>
    <row r="273" spans="3:5" ht="12.75">
      <c r="C273" s="57" t="s">
        <v>255</v>
      </c>
      <c r="E273" s="67" t="s">
        <v>264</v>
      </c>
    </row>
    <row r="274" spans="3:5" ht="12.75">
      <c r="C274" s="57" t="s">
        <v>62</v>
      </c>
      <c r="E274" s="61">
        <v>89770.03699314212</v>
      </c>
    </row>
    <row r="275" spans="3:5" ht="12.75">
      <c r="C275" s="57" t="s">
        <v>256</v>
      </c>
      <c r="E275" s="61">
        <v>8058659541.750105</v>
      </c>
    </row>
    <row r="276" spans="3:5" ht="12.75">
      <c r="C276" s="57" t="s">
        <v>257</v>
      </c>
      <c r="E276" s="68">
        <v>0.38658353323641087</v>
      </c>
    </row>
    <row r="277" spans="3:5" ht="12.75">
      <c r="C277" s="57" t="s">
        <v>258</v>
      </c>
      <c r="E277" s="69">
        <v>2.6473544830596785</v>
      </c>
    </row>
    <row r="278" spans="3:5" ht="12.75">
      <c r="C278" s="57" t="s">
        <v>259</v>
      </c>
      <c r="E278" s="68">
        <v>0.034709843228724585</v>
      </c>
    </row>
    <row r="279" spans="3:5" ht="12.75">
      <c r="C279" s="57" t="s">
        <v>260</v>
      </c>
      <c r="E279" s="61">
        <v>2377225.772080562</v>
      </c>
    </row>
    <row r="280" spans="3:5" ht="12.75">
      <c r="C280" s="57" t="s">
        <v>261</v>
      </c>
      <c r="E280" s="61">
        <v>2879269.439416671</v>
      </c>
    </row>
    <row r="281" spans="3:5" ht="12.75">
      <c r="C281" s="57" t="s">
        <v>262</v>
      </c>
      <c r="E281" s="61">
        <v>502043.6673361091</v>
      </c>
    </row>
    <row r="282" spans="3:5" ht="12.75">
      <c r="C282" s="57" t="s">
        <v>263</v>
      </c>
      <c r="E282" s="61">
        <v>1269.5400381043603</v>
      </c>
    </row>
    <row r="284" spans="1:10" ht="12.75">
      <c r="A284" s="64" t="s">
        <v>301</v>
      </c>
      <c r="B284" s="64"/>
      <c r="C284" s="64"/>
      <c r="D284" s="64"/>
      <c r="E284" s="64"/>
      <c r="F284" s="60"/>
      <c r="G284" s="64"/>
      <c r="H284" s="64"/>
      <c r="I284" s="64"/>
      <c r="J284" s="65" t="s">
        <v>297</v>
      </c>
    </row>
    <row r="286" spans="2:5" ht="12.75">
      <c r="B286" s="57" t="s">
        <v>266</v>
      </c>
      <c r="E286" s="66" t="s">
        <v>251</v>
      </c>
    </row>
    <row r="287" spans="3:5" ht="12.75">
      <c r="C287" s="57" t="s">
        <v>267</v>
      </c>
      <c r="E287" s="61">
        <v>2377225.772080562</v>
      </c>
    </row>
    <row r="288" spans="3:5" ht="12.75">
      <c r="C288" s="57" t="s">
        <v>268</v>
      </c>
      <c r="E288" s="61">
        <v>2474280.3052575006</v>
      </c>
    </row>
    <row r="289" spans="3:5" ht="12.75">
      <c r="C289" s="57" t="s">
        <v>269</v>
      </c>
      <c r="E289" s="61">
        <v>2504255.9885390317</v>
      </c>
    </row>
    <row r="290" spans="3:5" ht="12.75">
      <c r="C290" s="57" t="s">
        <v>270</v>
      </c>
      <c r="E290" s="61">
        <v>2531367.95052271</v>
      </c>
    </row>
    <row r="291" spans="3:5" ht="12.75">
      <c r="C291" s="57" t="s">
        <v>271</v>
      </c>
      <c r="E291" s="61">
        <v>2554841.434056928</v>
      </c>
    </row>
    <row r="292" spans="3:5" ht="12.75">
      <c r="C292" s="57" t="s">
        <v>272</v>
      </c>
      <c r="E292" s="61">
        <v>2578093.1331682545</v>
      </c>
    </row>
    <row r="293" spans="3:5" ht="12.75">
      <c r="C293" s="57" t="s">
        <v>273</v>
      </c>
      <c r="E293" s="61">
        <v>2602109.054888283</v>
      </c>
    </row>
    <row r="294" spans="3:5" ht="12.75">
      <c r="C294" s="57" t="s">
        <v>274</v>
      </c>
      <c r="E294" s="61">
        <v>2630905.8555557835</v>
      </c>
    </row>
    <row r="295" spans="3:5" ht="12.75">
      <c r="C295" s="57" t="s">
        <v>275</v>
      </c>
      <c r="E295" s="61">
        <v>2664976.665489831</v>
      </c>
    </row>
    <row r="296" spans="3:5" ht="12.75">
      <c r="C296" s="57" t="s">
        <v>276</v>
      </c>
      <c r="E296" s="61">
        <v>2710594.0052700965</v>
      </c>
    </row>
    <row r="297" spans="3:5" ht="12.75">
      <c r="C297" s="57" t="s">
        <v>277</v>
      </c>
      <c r="E297" s="61">
        <v>2879269.439416671</v>
      </c>
    </row>
    <row r="299" spans="1:10" ht="12.75">
      <c r="A299" s="64" t="s">
        <v>302</v>
      </c>
      <c r="B299" s="64"/>
      <c r="C299" s="64"/>
      <c r="D299" s="64"/>
      <c r="E299" s="64"/>
      <c r="F299" s="60"/>
      <c r="G299" s="64"/>
      <c r="H299" s="64"/>
      <c r="I299" s="64"/>
      <c r="J299" s="65" t="s">
        <v>303</v>
      </c>
    </row>
    <row r="301" ht="12.75">
      <c r="B301" s="57" t="s">
        <v>246</v>
      </c>
    </row>
    <row r="302" ht="12.75">
      <c r="C302" s="57" t="s">
        <v>304</v>
      </c>
    </row>
    <row r="303" ht="12.75">
      <c r="C303" s="57" t="s">
        <v>305</v>
      </c>
    </row>
    <row r="304" ht="12.75">
      <c r="C304" s="57" t="s">
        <v>306</v>
      </c>
    </row>
    <row r="307" ht="12.75"/>
    <row r="308" ht="12.75"/>
    <row r="309" ht="12.75"/>
    <row r="310" ht="12.75"/>
    <row r="311" ht="12.75"/>
    <row r="312" ht="12.75"/>
    <row r="313" ht="12.75"/>
    <row r="314" ht="12.75"/>
    <row r="315" ht="12.75"/>
    <row r="316" ht="12.75"/>
    <row r="317" ht="12.75"/>
    <row r="318" ht="12.75"/>
    <row r="319" ht="12.75"/>
    <row r="320" ht="12.75"/>
    <row r="321" ht="12.75"/>
    <row r="323" spans="2:5" ht="12.75">
      <c r="B323" s="57" t="s">
        <v>250</v>
      </c>
      <c r="E323" s="66" t="s">
        <v>251</v>
      </c>
    </row>
    <row r="324" spans="3:5" ht="12.75">
      <c r="C324" s="57" t="s">
        <v>252</v>
      </c>
      <c r="E324" s="61">
        <v>5000</v>
      </c>
    </row>
    <row r="325" spans="3:5" ht="12.75">
      <c r="C325" s="57" t="s">
        <v>253</v>
      </c>
      <c r="E325" s="61">
        <v>3534747.4458532333</v>
      </c>
    </row>
    <row r="326" spans="3:5" ht="12.75">
      <c r="C326" s="57" t="s">
        <v>254</v>
      </c>
      <c r="E326" s="61">
        <v>3497688.5988763664</v>
      </c>
    </row>
    <row r="327" spans="3:5" ht="12.75">
      <c r="C327" s="57" t="s">
        <v>255</v>
      </c>
      <c r="E327" s="67" t="s">
        <v>264</v>
      </c>
    </row>
    <row r="328" spans="3:5" ht="12.75">
      <c r="C328" s="57" t="s">
        <v>62</v>
      </c>
      <c r="E328" s="61">
        <v>260156.18163875185</v>
      </c>
    </row>
    <row r="329" spans="3:5" ht="12.75">
      <c r="C329" s="57" t="s">
        <v>256</v>
      </c>
      <c r="E329" s="61">
        <v>67681238844.85525</v>
      </c>
    </row>
    <row r="330" spans="3:5" ht="12.75">
      <c r="C330" s="57" t="s">
        <v>257</v>
      </c>
      <c r="E330" s="68">
        <v>0.4854211535649507</v>
      </c>
    </row>
    <row r="331" spans="3:5" ht="12.75">
      <c r="C331" s="57" t="s">
        <v>258</v>
      </c>
      <c r="E331" s="69">
        <v>2.509590045537653</v>
      </c>
    </row>
    <row r="332" spans="3:5" ht="12.75">
      <c r="C332" s="57" t="s">
        <v>259</v>
      </c>
      <c r="E332" s="68">
        <v>0.0735996519196732</v>
      </c>
    </row>
    <row r="333" spans="3:5" ht="12.75">
      <c r="C333" s="57" t="s">
        <v>260</v>
      </c>
      <c r="E333" s="61">
        <v>3008214.801026824</v>
      </c>
    </row>
    <row r="334" spans="3:5" ht="12.75">
      <c r="C334" s="57" t="s">
        <v>261</v>
      </c>
      <c r="E334" s="61">
        <v>4306861.175721669</v>
      </c>
    </row>
    <row r="335" spans="3:5" ht="12.75">
      <c r="C335" s="57" t="s">
        <v>262</v>
      </c>
      <c r="E335" s="61">
        <v>1298646.3746948447</v>
      </c>
    </row>
    <row r="336" spans="3:5" ht="12.75">
      <c r="C336" s="57" t="s">
        <v>263</v>
      </c>
      <c r="E336" s="61">
        <v>3679.1640040872126</v>
      </c>
    </row>
    <row r="338" spans="1:10" ht="12.75">
      <c r="A338" s="64" t="s">
        <v>307</v>
      </c>
      <c r="B338" s="64"/>
      <c r="C338" s="64"/>
      <c r="D338" s="64"/>
      <c r="E338" s="64"/>
      <c r="F338" s="60"/>
      <c r="G338" s="64"/>
      <c r="H338" s="64"/>
      <c r="I338" s="64"/>
      <c r="J338" s="65" t="s">
        <v>303</v>
      </c>
    </row>
    <row r="340" spans="2:5" ht="12.75">
      <c r="B340" s="57" t="s">
        <v>266</v>
      </c>
      <c r="E340" s="66" t="s">
        <v>251</v>
      </c>
    </row>
    <row r="341" spans="3:5" ht="12.75">
      <c r="C341" s="57" t="s">
        <v>267</v>
      </c>
      <c r="E341" s="61">
        <v>3008214.801026824</v>
      </c>
    </row>
    <row r="342" spans="3:5" ht="12.75">
      <c r="C342" s="57" t="s">
        <v>268</v>
      </c>
      <c r="E342" s="61">
        <v>3223777.9925723015</v>
      </c>
    </row>
    <row r="343" spans="3:5" ht="12.75">
      <c r="C343" s="57" t="s">
        <v>269</v>
      </c>
      <c r="E343" s="61">
        <v>3297234.7244347604</v>
      </c>
    </row>
    <row r="344" spans="3:5" ht="12.75">
      <c r="C344" s="57" t="s">
        <v>270</v>
      </c>
      <c r="E344" s="61">
        <v>3357533.3525639595</v>
      </c>
    </row>
    <row r="345" spans="3:5" ht="12.75">
      <c r="C345" s="57" t="s">
        <v>271</v>
      </c>
      <c r="E345" s="61">
        <v>3429211.7992965</v>
      </c>
    </row>
    <row r="346" spans="3:5" ht="12.75">
      <c r="C346" s="57" t="s">
        <v>272</v>
      </c>
      <c r="E346" s="61">
        <v>3497639.1605479745</v>
      </c>
    </row>
    <row r="347" spans="3:5" ht="12.75">
      <c r="C347" s="57" t="s">
        <v>273</v>
      </c>
      <c r="E347" s="61">
        <v>3574144.062281442</v>
      </c>
    </row>
    <row r="348" spans="3:5" ht="12.75">
      <c r="C348" s="57" t="s">
        <v>274</v>
      </c>
      <c r="E348" s="61">
        <v>3662638.9600525326</v>
      </c>
    </row>
    <row r="349" spans="3:5" ht="12.75">
      <c r="C349" s="57" t="s">
        <v>275</v>
      </c>
      <c r="E349" s="61">
        <v>3769625.125027261</v>
      </c>
    </row>
    <row r="350" spans="3:5" ht="12.75">
      <c r="C350" s="57" t="s">
        <v>276</v>
      </c>
      <c r="E350" s="61">
        <v>3911109.3381389556</v>
      </c>
    </row>
    <row r="351" spans="3:5" ht="12.75">
      <c r="C351" s="57" t="s">
        <v>277</v>
      </c>
      <c r="E351" s="61">
        <v>4306861.175721669</v>
      </c>
    </row>
    <row r="353" spans="1:10" ht="12.75">
      <c r="A353" s="64" t="s">
        <v>308</v>
      </c>
      <c r="B353" s="64"/>
      <c r="C353" s="64"/>
      <c r="D353" s="64"/>
      <c r="E353" s="64"/>
      <c r="F353" s="60"/>
      <c r="G353" s="64"/>
      <c r="H353" s="64"/>
      <c r="I353" s="64"/>
      <c r="J353" s="65" t="s">
        <v>309</v>
      </c>
    </row>
    <row r="355" ht="12.75">
      <c r="B355" s="57" t="s">
        <v>246</v>
      </c>
    </row>
    <row r="356" ht="12.75">
      <c r="C356" s="57" t="s">
        <v>310</v>
      </c>
    </row>
    <row r="357" ht="12.75">
      <c r="C357" s="57" t="s">
        <v>311</v>
      </c>
    </row>
    <row r="358" ht="12.75">
      <c r="C358" s="57" t="s">
        <v>312</v>
      </c>
    </row>
    <row r="361" ht="12.75"/>
    <row r="362" ht="12.75"/>
    <row r="363" ht="12.75"/>
    <row r="364" ht="12.75"/>
    <row r="365" ht="12.75"/>
    <row r="366" ht="12.75"/>
    <row r="367" ht="12.75"/>
    <row r="368" ht="12.75"/>
    <row r="369" ht="12.75"/>
    <row r="370" ht="12.75"/>
    <row r="371" ht="12.75"/>
    <row r="372" ht="12.75"/>
    <row r="373" ht="12.75"/>
    <row r="374" ht="12.75"/>
    <row r="375" ht="12.75"/>
    <row r="377" spans="2:5" ht="12.75">
      <c r="B377" s="57" t="s">
        <v>250</v>
      </c>
      <c r="E377" s="66" t="s">
        <v>251</v>
      </c>
    </row>
    <row r="378" spans="3:5" ht="12.75">
      <c r="C378" s="57" t="s">
        <v>252</v>
      </c>
      <c r="E378" s="61">
        <v>5000</v>
      </c>
    </row>
    <row r="379" spans="3:5" ht="12.75">
      <c r="C379" s="57" t="s">
        <v>253</v>
      </c>
      <c r="E379" s="61">
        <v>2692121.203962399</v>
      </c>
    </row>
    <row r="380" spans="3:5" ht="12.75">
      <c r="C380" s="57" t="s">
        <v>254</v>
      </c>
      <c r="E380" s="61">
        <v>2681613.0260294015</v>
      </c>
    </row>
    <row r="381" spans="3:5" ht="12.75">
      <c r="C381" s="57" t="s">
        <v>255</v>
      </c>
      <c r="E381" s="67" t="s">
        <v>264</v>
      </c>
    </row>
    <row r="382" spans="3:5" ht="12.75">
      <c r="C382" s="57" t="s">
        <v>62</v>
      </c>
      <c r="E382" s="61">
        <v>94622.97617953779</v>
      </c>
    </row>
    <row r="383" spans="3:5" ht="12.75">
      <c r="C383" s="57" t="s">
        <v>256</v>
      </c>
      <c r="E383" s="61">
        <v>8953507621.073374</v>
      </c>
    </row>
    <row r="384" spans="3:5" ht="12.75">
      <c r="C384" s="57" t="s">
        <v>257</v>
      </c>
      <c r="E384" s="68">
        <v>0.37618637994915294</v>
      </c>
    </row>
    <row r="385" spans="3:5" ht="12.75">
      <c r="C385" s="57" t="s">
        <v>258</v>
      </c>
      <c r="E385" s="69">
        <v>2.5518897262271234</v>
      </c>
    </row>
    <row r="386" spans="3:5" ht="12.75">
      <c r="C386" s="57" t="s">
        <v>259</v>
      </c>
      <c r="E386" s="68">
        <v>0.035148111474426535</v>
      </c>
    </row>
    <row r="387" spans="3:5" ht="12.75">
      <c r="C387" s="57" t="s">
        <v>260</v>
      </c>
      <c r="E387" s="61">
        <v>2481325.69991749</v>
      </c>
    </row>
    <row r="388" spans="3:5" ht="12.75">
      <c r="C388" s="57" t="s">
        <v>261</v>
      </c>
      <c r="E388" s="61">
        <v>3014517.78677948</v>
      </c>
    </row>
    <row r="389" spans="3:5" ht="12.75">
      <c r="C389" s="57" t="s">
        <v>262</v>
      </c>
      <c r="E389" s="61">
        <v>533192.0868619899</v>
      </c>
    </row>
    <row r="390" spans="3:5" ht="12.75">
      <c r="C390" s="57" t="s">
        <v>263</v>
      </c>
      <c r="E390" s="61">
        <v>1338.1709622520864</v>
      </c>
    </row>
    <row r="392" spans="1:10" ht="12.75">
      <c r="A392" s="64" t="s">
        <v>313</v>
      </c>
      <c r="B392" s="64"/>
      <c r="C392" s="64"/>
      <c r="D392" s="64"/>
      <c r="E392" s="64"/>
      <c r="F392" s="60"/>
      <c r="G392" s="64"/>
      <c r="H392" s="64"/>
      <c r="I392" s="64"/>
      <c r="J392" s="65" t="s">
        <v>309</v>
      </c>
    </row>
    <row r="394" spans="2:5" ht="12.75">
      <c r="B394" s="57" t="s">
        <v>266</v>
      </c>
      <c r="E394" s="66" t="s">
        <v>251</v>
      </c>
    </row>
    <row r="395" spans="3:5" ht="12.75">
      <c r="C395" s="57" t="s">
        <v>267</v>
      </c>
      <c r="E395" s="61">
        <v>2481325.69991749</v>
      </c>
    </row>
    <row r="396" spans="3:5" ht="12.75">
      <c r="C396" s="57" t="s">
        <v>268</v>
      </c>
      <c r="E396" s="61">
        <v>2575046.48980714</v>
      </c>
    </row>
    <row r="397" spans="3:5" ht="12.75">
      <c r="C397" s="57" t="s">
        <v>269</v>
      </c>
      <c r="E397" s="61">
        <v>2606462.2423588326</v>
      </c>
    </row>
    <row r="398" spans="3:5" ht="12.75">
      <c r="C398" s="57" t="s">
        <v>270</v>
      </c>
      <c r="E398" s="61">
        <v>2631760.6232849723</v>
      </c>
    </row>
    <row r="399" spans="3:5" ht="12.75">
      <c r="C399" s="57" t="s">
        <v>271</v>
      </c>
      <c r="E399" s="61">
        <v>2656090.7222513054</v>
      </c>
    </row>
    <row r="400" spans="3:5" ht="12.75">
      <c r="C400" s="57" t="s">
        <v>272</v>
      </c>
      <c r="E400" s="61">
        <v>2681571.4987495267</v>
      </c>
    </row>
    <row r="401" spans="3:5" ht="12.75">
      <c r="C401" s="57" t="s">
        <v>273</v>
      </c>
      <c r="E401" s="61">
        <v>2709923.426451406</v>
      </c>
    </row>
    <row r="402" spans="3:5" ht="12.75">
      <c r="C402" s="57" t="s">
        <v>274</v>
      </c>
      <c r="E402" s="61">
        <v>2742052.767009257</v>
      </c>
    </row>
    <row r="403" spans="3:5" ht="12.75">
      <c r="C403" s="57" t="s">
        <v>275</v>
      </c>
      <c r="E403" s="61">
        <v>2777553.4498164756</v>
      </c>
    </row>
    <row r="404" spans="3:5" ht="12.75">
      <c r="C404" s="57" t="s">
        <v>276</v>
      </c>
      <c r="E404" s="61">
        <v>2825599.6824491704</v>
      </c>
    </row>
    <row r="405" spans="3:5" ht="12.75">
      <c r="C405" s="57" t="s">
        <v>277</v>
      </c>
      <c r="E405" s="61">
        <v>3014517.78677948</v>
      </c>
    </row>
    <row r="407" spans="1:10" ht="12.75">
      <c r="A407" s="64" t="s">
        <v>314</v>
      </c>
      <c r="B407" s="64"/>
      <c r="C407" s="64"/>
      <c r="D407" s="64"/>
      <c r="E407" s="64"/>
      <c r="F407" s="60"/>
      <c r="G407" s="64"/>
      <c r="H407" s="64"/>
      <c r="I407" s="64"/>
      <c r="J407" s="65" t="s">
        <v>315</v>
      </c>
    </row>
    <row r="409" ht="12.75">
      <c r="B409" s="57" t="s">
        <v>246</v>
      </c>
    </row>
    <row r="410" ht="12.75">
      <c r="C410" s="57" t="s">
        <v>316</v>
      </c>
    </row>
    <row r="411" ht="12.75">
      <c r="C411" s="57" t="s">
        <v>317</v>
      </c>
    </row>
    <row r="412" ht="12.75">
      <c r="C412" s="57" t="s">
        <v>318</v>
      </c>
    </row>
    <row r="414" ht="12.75"/>
    <row r="415" ht="12.75"/>
    <row r="416" ht="12.75"/>
    <row r="417" ht="12.75"/>
    <row r="418" ht="12.75"/>
    <row r="419" ht="12.75"/>
    <row r="420" ht="12.75"/>
    <row r="421" ht="12.75"/>
    <row r="422" ht="12.75"/>
    <row r="423" ht="12.75"/>
    <row r="424" ht="12.75"/>
    <row r="425" ht="12.75"/>
    <row r="426" ht="12.75"/>
    <row r="427" ht="12.75"/>
    <row r="428" ht="12.75"/>
    <row r="429" ht="12.75"/>
    <row r="431" spans="2:5" ht="12.75">
      <c r="B431" s="57" t="s">
        <v>250</v>
      </c>
      <c r="E431" s="66" t="s">
        <v>251</v>
      </c>
    </row>
    <row r="432" spans="3:5" ht="12.75">
      <c r="C432" s="57" t="s">
        <v>252</v>
      </c>
      <c r="E432" s="61">
        <v>5000</v>
      </c>
    </row>
    <row r="433" spans="3:5" ht="12.75">
      <c r="C433" s="57" t="s">
        <v>253</v>
      </c>
      <c r="E433" s="61">
        <v>3684526.0593616813</v>
      </c>
    </row>
    <row r="434" spans="3:5" ht="12.75">
      <c r="C434" s="57" t="s">
        <v>254</v>
      </c>
      <c r="E434" s="61">
        <v>3650414.164890052</v>
      </c>
    </row>
    <row r="435" spans="3:5" ht="12.75">
      <c r="C435" s="57" t="s">
        <v>255</v>
      </c>
      <c r="E435" s="67" t="s">
        <v>264</v>
      </c>
    </row>
    <row r="436" spans="3:5" ht="12.75">
      <c r="C436" s="57" t="s">
        <v>62</v>
      </c>
      <c r="E436" s="61">
        <v>273938.3035667337</v>
      </c>
    </row>
    <row r="437" spans="3:5" ht="12.75">
      <c r="C437" s="57" t="s">
        <v>256</v>
      </c>
      <c r="E437" s="61">
        <v>75042194161.01997</v>
      </c>
    </row>
    <row r="438" spans="3:5" ht="12.75">
      <c r="C438" s="57" t="s">
        <v>257</v>
      </c>
      <c r="E438" s="68">
        <v>0.4438229970088621</v>
      </c>
    </row>
    <row r="439" spans="3:5" ht="12.75">
      <c r="C439" s="57" t="s">
        <v>258</v>
      </c>
      <c r="E439" s="69">
        <v>2.444293786997476</v>
      </c>
    </row>
    <row r="440" spans="3:5" ht="12.75">
      <c r="C440" s="57" t="s">
        <v>259</v>
      </c>
      <c r="E440" s="68">
        <v>0.07434831485876141</v>
      </c>
    </row>
    <row r="441" spans="3:5" ht="12.75">
      <c r="C441" s="57" t="s">
        <v>260</v>
      </c>
      <c r="E441" s="61">
        <v>3121007.5914968625</v>
      </c>
    </row>
    <row r="442" spans="3:5" ht="12.75">
      <c r="C442" s="57" t="s">
        <v>261</v>
      </c>
      <c r="E442" s="61">
        <v>4474756.774858062</v>
      </c>
    </row>
    <row r="443" spans="3:5" ht="12.75">
      <c r="C443" s="57" t="s">
        <v>262</v>
      </c>
      <c r="E443" s="61">
        <v>1353749.1833611997</v>
      </c>
    </row>
    <row r="444" spans="3:5" ht="12.75">
      <c r="C444" s="57" t="s">
        <v>263</v>
      </c>
      <c r="E444" s="61">
        <v>3874.0726415755285</v>
      </c>
    </row>
    <row r="446" spans="1:10" ht="12.75">
      <c r="A446" s="64" t="s">
        <v>319</v>
      </c>
      <c r="B446" s="64"/>
      <c r="C446" s="64"/>
      <c r="D446" s="64"/>
      <c r="E446" s="64"/>
      <c r="F446" s="60"/>
      <c r="G446" s="64"/>
      <c r="H446" s="64"/>
      <c r="I446" s="64"/>
      <c r="J446" s="65" t="s">
        <v>315</v>
      </c>
    </row>
    <row r="448" spans="2:5" ht="12.75">
      <c r="B448" s="57" t="s">
        <v>266</v>
      </c>
      <c r="E448" s="66" t="s">
        <v>251</v>
      </c>
    </row>
    <row r="449" spans="3:5" ht="12.75">
      <c r="C449" s="57" t="s">
        <v>267</v>
      </c>
      <c r="E449" s="61">
        <v>3121007.5914968625</v>
      </c>
    </row>
    <row r="450" spans="3:5" ht="12.75">
      <c r="C450" s="57" t="s">
        <v>268</v>
      </c>
      <c r="E450" s="61">
        <v>3355091.7768644737</v>
      </c>
    </row>
    <row r="451" spans="3:5" ht="12.75">
      <c r="C451" s="57" t="s">
        <v>269</v>
      </c>
      <c r="E451" s="61">
        <v>3433173.9025812508</v>
      </c>
    </row>
    <row r="452" spans="3:5" ht="12.75">
      <c r="C452" s="57" t="s">
        <v>270</v>
      </c>
      <c r="E452" s="61">
        <v>3499356.6294040084</v>
      </c>
    </row>
    <row r="453" spans="3:5" ht="12.75">
      <c r="C453" s="57" t="s">
        <v>271</v>
      </c>
      <c r="E453" s="61">
        <v>3572014.377756709</v>
      </c>
    </row>
    <row r="454" spans="3:5" ht="12.75">
      <c r="C454" s="57" t="s">
        <v>272</v>
      </c>
      <c r="E454" s="61">
        <v>3650279.693738029</v>
      </c>
    </row>
    <row r="455" spans="3:5" ht="12.75">
      <c r="C455" s="57" t="s">
        <v>273</v>
      </c>
      <c r="E455" s="61">
        <v>3727479.42336343</v>
      </c>
    </row>
    <row r="456" spans="3:5" ht="12.75">
      <c r="C456" s="57" t="s">
        <v>274</v>
      </c>
      <c r="E456" s="61">
        <v>3826115.637350882</v>
      </c>
    </row>
    <row r="457" spans="3:5" ht="12.75">
      <c r="C457" s="57" t="s">
        <v>275</v>
      </c>
      <c r="E457" s="61">
        <v>3936888.7433775514</v>
      </c>
    </row>
    <row r="458" spans="3:5" ht="12.75">
      <c r="C458" s="57" t="s">
        <v>276</v>
      </c>
      <c r="E458" s="61">
        <v>4078505.549406582</v>
      </c>
    </row>
    <row r="459" spans="3:5" ht="12.75">
      <c r="C459" s="57" t="s">
        <v>277</v>
      </c>
      <c r="E459" s="61">
        <v>4474756.774858062</v>
      </c>
    </row>
    <row r="461" spans="1:10" ht="12.75">
      <c r="A461" s="64" t="s">
        <v>320</v>
      </c>
      <c r="B461" s="64"/>
      <c r="C461" s="64"/>
      <c r="D461" s="64"/>
      <c r="E461" s="64"/>
      <c r="F461" s="60"/>
      <c r="G461" s="64"/>
      <c r="H461" s="64"/>
      <c r="I461" s="64"/>
      <c r="J461" s="65" t="s">
        <v>321</v>
      </c>
    </row>
    <row r="463" ht="12.75">
      <c r="B463" s="57" t="s">
        <v>246</v>
      </c>
    </row>
    <row r="464" ht="12.75">
      <c r="C464" s="57" t="s">
        <v>322</v>
      </c>
    </row>
    <row r="465" ht="12.75">
      <c r="C465" s="57" t="s">
        <v>323</v>
      </c>
    </row>
    <row r="466" ht="12.75">
      <c r="C466" s="57" t="s">
        <v>324</v>
      </c>
    </row>
    <row r="469" ht="12.75"/>
    <row r="470" ht="12.75"/>
    <row r="471" ht="12.75"/>
    <row r="472" ht="12.75"/>
    <row r="473" ht="12.75"/>
    <row r="474" ht="12.75"/>
    <row r="475" ht="12.75"/>
    <row r="476" ht="12.75"/>
    <row r="477" ht="12.75"/>
    <row r="478" ht="12.75"/>
    <row r="479" ht="12.75"/>
    <row r="480" ht="12.75"/>
    <row r="481" ht="12.75"/>
    <row r="482" ht="12.75"/>
    <row r="483" ht="12.75"/>
    <row r="485" spans="2:5" ht="12.75">
      <c r="B485" s="57" t="s">
        <v>250</v>
      </c>
      <c r="E485" s="66" t="s">
        <v>251</v>
      </c>
    </row>
    <row r="486" spans="3:5" ht="12.75">
      <c r="C486" s="57" t="s">
        <v>252</v>
      </c>
      <c r="E486" s="61">
        <v>5000</v>
      </c>
    </row>
    <row r="487" spans="3:5" ht="12.75">
      <c r="C487" s="57" t="s">
        <v>253</v>
      </c>
      <c r="E487" s="61">
        <v>2800228.091846307</v>
      </c>
    </row>
    <row r="488" spans="3:5" ht="12.75">
      <c r="C488" s="57" t="s">
        <v>254</v>
      </c>
      <c r="E488" s="61">
        <v>2790145.6219257414</v>
      </c>
    </row>
    <row r="489" spans="3:5" ht="12.75">
      <c r="C489" s="57" t="s">
        <v>255</v>
      </c>
      <c r="E489" s="67" t="s">
        <v>264</v>
      </c>
    </row>
    <row r="490" spans="3:5" ht="12.75">
      <c r="C490" s="57" t="s">
        <v>62</v>
      </c>
      <c r="E490" s="61">
        <v>97323.09610154585</v>
      </c>
    </row>
    <row r="491" spans="3:5" ht="12.75">
      <c r="C491" s="57" t="s">
        <v>256</v>
      </c>
      <c r="E491" s="61">
        <v>9471785034.790728</v>
      </c>
    </row>
    <row r="492" spans="3:5" ht="12.75">
      <c r="C492" s="57" t="s">
        <v>257</v>
      </c>
      <c r="E492" s="68">
        <v>0.3786102823039983</v>
      </c>
    </row>
    <row r="493" spans="3:5" ht="12.75">
      <c r="C493" s="57" t="s">
        <v>258</v>
      </c>
      <c r="E493" s="69">
        <v>2.547272845990131</v>
      </c>
    </row>
    <row r="494" spans="3:5" ht="12.75">
      <c r="C494" s="57" t="s">
        <v>259</v>
      </c>
      <c r="E494" s="68">
        <v>0.03475541738365202</v>
      </c>
    </row>
    <row r="495" spans="3:5" ht="12.75">
      <c r="C495" s="57" t="s">
        <v>260</v>
      </c>
      <c r="E495" s="61">
        <v>2568882.748924634</v>
      </c>
    </row>
    <row r="496" spans="3:5" ht="12.75">
      <c r="C496" s="57" t="s">
        <v>261</v>
      </c>
      <c r="E496" s="61">
        <v>3107997.4175770152</v>
      </c>
    </row>
    <row r="497" spans="3:5" ht="12.75">
      <c r="C497" s="57" t="s">
        <v>262</v>
      </c>
      <c r="E497" s="61">
        <v>539114.6686523813</v>
      </c>
    </row>
    <row r="498" spans="3:5" ht="12.75">
      <c r="C498" s="57" t="s">
        <v>263</v>
      </c>
      <c r="E498" s="61">
        <v>1376.3564243894623</v>
      </c>
    </row>
    <row r="500" spans="1:10" ht="12.75">
      <c r="A500" s="64" t="s">
        <v>325</v>
      </c>
      <c r="B500" s="64"/>
      <c r="C500" s="64"/>
      <c r="D500" s="64"/>
      <c r="E500" s="64"/>
      <c r="F500" s="60"/>
      <c r="G500" s="64"/>
      <c r="H500" s="64"/>
      <c r="I500" s="64"/>
      <c r="J500" s="65" t="s">
        <v>321</v>
      </c>
    </row>
    <row r="502" spans="2:5" ht="12.75">
      <c r="B502" s="57" t="s">
        <v>266</v>
      </c>
      <c r="E502" s="66" t="s">
        <v>251</v>
      </c>
    </row>
    <row r="503" spans="3:5" ht="12.75">
      <c r="C503" s="57" t="s">
        <v>267</v>
      </c>
      <c r="E503" s="61">
        <v>2568882.748924634</v>
      </c>
    </row>
    <row r="504" spans="3:5" ht="12.75">
      <c r="C504" s="57" t="s">
        <v>268</v>
      </c>
      <c r="E504" s="61">
        <v>2679397.48377291</v>
      </c>
    </row>
    <row r="505" spans="3:5" ht="12.75">
      <c r="C505" s="57" t="s">
        <v>269</v>
      </c>
      <c r="E505" s="61">
        <v>2711179.2707661623</v>
      </c>
    </row>
    <row r="506" spans="3:5" ht="12.75">
      <c r="C506" s="57" t="s">
        <v>270</v>
      </c>
      <c r="E506" s="61">
        <v>2739248.8153539803</v>
      </c>
    </row>
    <row r="507" spans="3:5" ht="12.75">
      <c r="C507" s="57" t="s">
        <v>271</v>
      </c>
      <c r="E507" s="61">
        <v>2764073.4193816013</v>
      </c>
    </row>
    <row r="508" spans="3:5" ht="12.75">
      <c r="C508" s="57" t="s">
        <v>272</v>
      </c>
      <c r="E508" s="61">
        <v>2790113.202999685</v>
      </c>
    </row>
    <row r="509" spans="3:5" ht="12.75">
      <c r="C509" s="57" t="s">
        <v>273</v>
      </c>
      <c r="E509" s="61">
        <v>2818328.710012185</v>
      </c>
    </row>
    <row r="510" spans="3:5" ht="12.75">
      <c r="C510" s="57" t="s">
        <v>274</v>
      </c>
      <c r="E510" s="61">
        <v>2847817.552521201</v>
      </c>
    </row>
    <row r="511" spans="3:5" ht="12.75">
      <c r="C511" s="57" t="s">
        <v>275</v>
      </c>
      <c r="E511" s="61">
        <v>2887493.975684251</v>
      </c>
    </row>
    <row r="512" spans="3:5" ht="12.75">
      <c r="C512" s="57" t="s">
        <v>276</v>
      </c>
      <c r="E512" s="61">
        <v>2940046.54281368</v>
      </c>
    </row>
    <row r="513" spans="3:5" ht="12.75">
      <c r="C513" s="57" t="s">
        <v>277</v>
      </c>
      <c r="E513" s="61">
        <v>3107997.4175770152</v>
      </c>
    </row>
    <row r="515" spans="1:10" ht="12.75">
      <c r="A515" s="64" t="s">
        <v>326</v>
      </c>
      <c r="B515" s="64"/>
      <c r="C515" s="64"/>
      <c r="D515" s="64"/>
      <c r="E515" s="64"/>
      <c r="F515" s="60"/>
      <c r="G515" s="64"/>
      <c r="H515" s="64"/>
      <c r="I515" s="64"/>
      <c r="J515" s="65" t="s">
        <v>327</v>
      </c>
    </row>
    <row r="517" ht="12.75">
      <c r="B517" s="57" t="s">
        <v>246</v>
      </c>
    </row>
    <row r="518" ht="12.75">
      <c r="C518" s="57" t="s">
        <v>328</v>
      </c>
    </row>
    <row r="519" ht="12.75">
      <c r="C519" s="57" t="s">
        <v>329</v>
      </c>
    </row>
    <row r="520" ht="12.75">
      <c r="C520" s="57" t="s">
        <v>330</v>
      </c>
    </row>
    <row r="523" ht="12.75"/>
    <row r="524" ht="12.75"/>
    <row r="525" ht="12.75"/>
    <row r="526" ht="12.75"/>
    <row r="527" ht="12.75"/>
    <row r="528" ht="12.75"/>
    <row r="529" ht="12.75"/>
    <row r="530" ht="12.75"/>
    <row r="531" ht="12.75"/>
    <row r="532" ht="12.75"/>
    <row r="533" ht="12.75"/>
    <row r="534" ht="12.75"/>
    <row r="535" ht="12.75"/>
    <row r="536" ht="12.75"/>
    <row r="537" ht="12.75"/>
    <row r="539" spans="2:5" ht="12.75">
      <c r="B539" s="57" t="s">
        <v>250</v>
      </c>
      <c r="E539" s="66" t="s">
        <v>251</v>
      </c>
    </row>
    <row r="540" spans="3:5" ht="12.75">
      <c r="C540" s="57" t="s">
        <v>252</v>
      </c>
      <c r="E540" s="61">
        <v>5000</v>
      </c>
    </row>
    <row r="541" spans="3:5" ht="12.75">
      <c r="C541" s="57" t="s">
        <v>253</v>
      </c>
      <c r="E541" s="61">
        <v>3828344.2920695757</v>
      </c>
    </row>
    <row r="542" spans="3:5" ht="12.75">
      <c r="C542" s="57" t="s">
        <v>254</v>
      </c>
      <c r="E542" s="61">
        <v>3782236.453598908</v>
      </c>
    </row>
    <row r="543" spans="3:5" ht="12.75">
      <c r="C543" s="57" t="s">
        <v>255</v>
      </c>
      <c r="E543" s="67" t="s">
        <v>264</v>
      </c>
    </row>
    <row r="544" spans="3:5" ht="12.75">
      <c r="C544" s="57" t="s">
        <v>62</v>
      </c>
      <c r="E544" s="61">
        <v>285528.346405322</v>
      </c>
    </row>
    <row r="545" spans="3:5" ht="12.75">
      <c r="C545" s="57" t="s">
        <v>256</v>
      </c>
      <c r="E545" s="61">
        <v>81526436600.95757</v>
      </c>
    </row>
    <row r="546" spans="3:5" ht="12.75">
      <c r="C546" s="57" t="s">
        <v>257</v>
      </c>
      <c r="E546" s="68">
        <v>0.45983569113949874</v>
      </c>
    </row>
    <row r="547" spans="3:5" ht="12.75">
      <c r="C547" s="57" t="s">
        <v>258</v>
      </c>
      <c r="E547" s="69">
        <v>2.4549947505953056</v>
      </c>
    </row>
    <row r="548" spans="3:5" ht="12.75">
      <c r="C548" s="57" t="s">
        <v>259</v>
      </c>
      <c r="E548" s="68">
        <v>0.07458272418099769</v>
      </c>
    </row>
    <row r="549" spans="3:5" ht="12.75">
      <c r="C549" s="57" t="s">
        <v>260</v>
      </c>
      <c r="E549" s="61">
        <v>3266665.381555052</v>
      </c>
    </row>
    <row r="550" spans="3:5" ht="12.75">
      <c r="C550" s="57" t="s">
        <v>261</v>
      </c>
      <c r="E550" s="61">
        <v>4706631.522477461</v>
      </c>
    </row>
    <row r="551" spans="3:5" ht="12.75">
      <c r="C551" s="57" t="s">
        <v>262</v>
      </c>
      <c r="E551" s="61">
        <v>1439966.140922409</v>
      </c>
    </row>
    <row r="552" spans="3:5" ht="12.75">
      <c r="C552" s="57" t="s">
        <v>263</v>
      </c>
      <c r="E552" s="61">
        <v>4037.980599283696</v>
      </c>
    </row>
    <row r="554" spans="1:10" ht="12.75">
      <c r="A554" s="64" t="s">
        <v>331</v>
      </c>
      <c r="B554" s="64"/>
      <c r="C554" s="64"/>
      <c r="D554" s="64"/>
      <c r="E554" s="64"/>
      <c r="F554" s="60"/>
      <c r="G554" s="64"/>
      <c r="H554" s="64"/>
      <c r="I554" s="64"/>
      <c r="J554" s="65" t="s">
        <v>327</v>
      </c>
    </row>
    <row r="556" spans="2:5" ht="12.75">
      <c r="B556" s="57" t="s">
        <v>266</v>
      </c>
      <c r="E556" s="66" t="s">
        <v>251</v>
      </c>
    </row>
    <row r="557" spans="3:5" ht="12.75">
      <c r="C557" s="57" t="s">
        <v>267</v>
      </c>
      <c r="E557" s="61">
        <v>3266665.381555052</v>
      </c>
    </row>
    <row r="558" spans="3:5" ht="12.75">
      <c r="C558" s="57" t="s">
        <v>268</v>
      </c>
      <c r="E558" s="61">
        <v>3487596.960129325</v>
      </c>
    </row>
    <row r="559" spans="3:5" ht="12.75">
      <c r="C559" s="57" t="s">
        <v>269</v>
      </c>
      <c r="E559" s="61">
        <v>3567178.1222805823</v>
      </c>
    </row>
    <row r="560" spans="3:5" ht="12.75">
      <c r="C560" s="57" t="s">
        <v>270</v>
      </c>
      <c r="E560" s="61">
        <v>3634916.6137829917</v>
      </c>
    </row>
    <row r="561" spans="3:5" ht="12.75">
      <c r="C561" s="57" t="s">
        <v>271</v>
      </c>
      <c r="E561" s="61">
        <v>3708191.273903833</v>
      </c>
    </row>
    <row r="562" spans="3:5" ht="12.75">
      <c r="C562" s="57" t="s">
        <v>272</v>
      </c>
      <c r="E562" s="61">
        <v>3782222.437107252</v>
      </c>
    </row>
    <row r="563" spans="3:5" ht="12.75">
      <c r="C563" s="57" t="s">
        <v>273</v>
      </c>
      <c r="E563" s="61">
        <v>3875018.927672258</v>
      </c>
    </row>
    <row r="564" spans="3:5" ht="12.75">
      <c r="C564" s="57" t="s">
        <v>274</v>
      </c>
      <c r="E564" s="61">
        <v>3977996.0207278184</v>
      </c>
    </row>
    <row r="565" spans="3:5" ht="12.75">
      <c r="C565" s="57" t="s">
        <v>275</v>
      </c>
      <c r="E565" s="61">
        <v>4088787.9515261194</v>
      </c>
    </row>
    <row r="566" spans="3:5" ht="12.75">
      <c r="C566" s="57" t="s">
        <v>276</v>
      </c>
      <c r="E566" s="61">
        <v>4241198.844760981</v>
      </c>
    </row>
    <row r="567" spans="3:5" ht="12.75">
      <c r="C567" s="57" t="s">
        <v>277</v>
      </c>
      <c r="E567" s="61">
        <v>4706631.522477461</v>
      </c>
    </row>
    <row r="569" ht="12.75">
      <c r="A569" s="57" t="s">
        <v>332</v>
      </c>
    </row>
  </sheetData>
  <printOptions/>
  <pageMargins left="0.75" right="0.75" top="1" bottom="1" header="0.5" footer="0.5"/>
  <pageSetup horizontalDpi="600" verticalDpi="600" orientation="portrait" r:id="rId2"/>
  <headerFooter alignWithMargins="0">
    <oddHeader>&amp;C&amp;f</oddHeader>
    <oddFooter>&amp;CPage &amp;p</oddFooter>
  </headerFooter>
  <rowBreaks count="20" manualBreakCount="20">
    <brk id="23" max="255" man="1"/>
    <brk id="67" max="255" man="1"/>
    <brk id="82" max="255" man="1"/>
    <brk id="121" max="255" man="1"/>
    <brk id="136" max="255" man="1"/>
    <brk id="175" max="255" man="1"/>
    <brk id="190" max="255" man="1"/>
    <brk id="229" max="255" man="1"/>
    <brk id="244" max="255" man="1"/>
    <brk id="283" max="255" man="1"/>
    <brk id="298" max="255" man="1"/>
    <brk id="337" max="255" man="1"/>
    <brk id="352" max="255" man="1"/>
    <brk id="391" max="255" man="1"/>
    <brk id="406" max="255" man="1"/>
    <brk id="445" max="255" man="1"/>
    <brk id="460" max="255" man="1"/>
    <brk id="499" max="255" man="1"/>
    <brk id="514" max="255" man="1"/>
    <brk id="553" max="255"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J109"/>
  <sheetViews>
    <sheetView workbookViewId="0" topLeftCell="A10">
      <selection activeCell="J1" sqref="J1"/>
    </sheetView>
  </sheetViews>
  <sheetFormatPr defaultColWidth="9.140625" defaultRowHeight="12.75"/>
  <cols>
    <col min="3" max="3" width="13.00390625" style="0" customWidth="1"/>
    <col min="4" max="4" width="10.8515625" style="0" customWidth="1"/>
    <col min="6" max="7" width="12.7109375" style="0" customWidth="1"/>
    <col min="8" max="8" width="12.57421875" style="0" customWidth="1"/>
    <col min="9" max="9" width="12.7109375" style="0" customWidth="1"/>
  </cols>
  <sheetData>
    <row r="1" spans="3:10" ht="18">
      <c r="C1" s="1" t="s">
        <v>0</v>
      </c>
      <c r="J1" s="104" t="s">
        <v>517</v>
      </c>
    </row>
    <row r="2" ht="18">
      <c r="C2" s="1" t="s">
        <v>355</v>
      </c>
    </row>
    <row r="3" spans="1:10" ht="5.25" customHeight="1">
      <c r="A3" s="2"/>
      <c r="B3" s="2"/>
      <c r="C3" s="2"/>
      <c r="D3" s="2"/>
      <c r="E3" s="2"/>
      <c r="F3" s="2"/>
      <c r="G3" s="2"/>
      <c r="H3" s="2"/>
      <c r="I3" s="2"/>
      <c r="J3" s="2"/>
    </row>
    <row r="4" spans="1:6" ht="12.75">
      <c r="A4" s="3" t="s">
        <v>371</v>
      </c>
      <c r="B4" s="3"/>
      <c r="C4" s="3"/>
      <c r="D4" s="3"/>
      <c r="E4" s="3"/>
      <c r="F4" s="3"/>
    </row>
    <row r="5" ht="12.75">
      <c r="A5" s="3" t="s">
        <v>372</v>
      </c>
    </row>
    <row r="7" ht="14.25">
      <c r="A7" s="38" t="s">
        <v>356</v>
      </c>
    </row>
    <row r="8" spans="6:8" ht="12.75">
      <c r="F8" t="s">
        <v>367</v>
      </c>
      <c r="H8" s="5" t="s">
        <v>360</v>
      </c>
    </row>
    <row r="9" spans="6:8" ht="12.75">
      <c r="F9" s="6">
        <v>2005</v>
      </c>
      <c r="G9" s="6">
        <v>2006</v>
      </c>
      <c r="H9" s="6" t="s">
        <v>361</v>
      </c>
    </row>
    <row r="10" spans="2:7" ht="12.75">
      <c r="B10" t="s">
        <v>362</v>
      </c>
      <c r="F10" s="8">
        <v>1000</v>
      </c>
      <c r="G10" s="8">
        <v>1500</v>
      </c>
    </row>
    <row r="11" spans="2:7" ht="12.75">
      <c r="B11" t="s">
        <v>363</v>
      </c>
      <c r="F11" s="20">
        <v>15</v>
      </c>
      <c r="G11" s="20">
        <v>15</v>
      </c>
    </row>
    <row r="12" spans="2:8" ht="12.75">
      <c r="B12" t="s">
        <v>357</v>
      </c>
      <c r="F12" s="35">
        <f>F10*F11</f>
        <v>15000</v>
      </c>
      <c r="G12" s="35">
        <f>G10*G11</f>
        <v>22500</v>
      </c>
      <c r="H12" s="10">
        <f>(G12-F12)/F12</f>
        <v>0.5</v>
      </c>
    </row>
    <row r="13" spans="2:7" ht="12.75">
      <c r="B13" t="s">
        <v>364</v>
      </c>
      <c r="E13" s="20">
        <v>3</v>
      </c>
      <c r="F13" s="35">
        <f>F10*E13</f>
        <v>3000</v>
      </c>
      <c r="G13" s="35">
        <f>G10*E13</f>
        <v>4500</v>
      </c>
    </row>
    <row r="14" spans="2:7" ht="12.75">
      <c r="B14" t="s">
        <v>358</v>
      </c>
      <c r="F14" s="36">
        <v>10000</v>
      </c>
      <c r="G14" s="36">
        <v>10000</v>
      </c>
    </row>
    <row r="15" spans="2:8" ht="12.75">
      <c r="B15" t="s">
        <v>359</v>
      </c>
      <c r="F15" s="35">
        <f>F12-F13-F14</f>
        <v>2000</v>
      </c>
      <c r="G15" s="35">
        <f>G12-G13-G14</f>
        <v>8000</v>
      </c>
      <c r="H15" s="10">
        <f>(G15-F15)/F15</f>
        <v>3</v>
      </c>
    </row>
    <row r="16" spans="6:7" ht="12.75">
      <c r="F16" s="8"/>
      <c r="G16" s="8"/>
    </row>
    <row r="17" spans="2:8" ht="12.75">
      <c r="B17" t="s">
        <v>366</v>
      </c>
      <c r="F17" s="8"/>
      <c r="G17" s="8"/>
      <c r="H17" s="11">
        <f>H15/H12</f>
        <v>6</v>
      </c>
    </row>
    <row r="18" spans="6:7" ht="12.75">
      <c r="F18" s="8"/>
      <c r="G18" s="8"/>
    </row>
    <row r="19" spans="2:8" ht="12.75">
      <c r="B19" t="s">
        <v>365</v>
      </c>
      <c r="F19" s="8"/>
      <c r="G19" s="8"/>
      <c r="H19" s="72">
        <f>(G10*(G11-E13))/(G10*(G11-E13)-G14)</f>
        <v>2.25</v>
      </c>
    </row>
    <row r="20" spans="6:7" ht="12.75">
      <c r="F20" s="8"/>
      <c r="G20" s="8" t="s">
        <v>3</v>
      </c>
    </row>
    <row r="21" spans="2:7" ht="18">
      <c r="B21" s="73"/>
      <c r="D21" s="3" t="s">
        <v>368</v>
      </c>
      <c r="G21" s="20"/>
    </row>
    <row r="22" ht="12.75">
      <c r="D22" s="3" t="s">
        <v>369</v>
      </c>
    </row>
    <row r="23" ht="12.75">
      <c r="D23" s="3" t="s">
        <v>370</v>
      </c>
    </row>
    <row r="24" ht="12.75">
      <c r="D24" s="3"/>
    </row>
    <row r="25" spans="2:8" ht="12.75">
      <c r="B25" t="s">
        <v>391</v>
      </c>
      <c r="H25" s="72">
        <f>(G12-G13)/G15</f>
        <v>2.25</v>
      </c>
    </row>
    <row r="28" ht="14.25">
      <c r="A28" s="38" t="s">
        <v>373</v>
      </c>
    </row>
    <row r="30" spans="2:8" ht="12.75">
      <c r="B30" s="9" t="s">
        <v>374</v>
      </c>
      <c r="H30" s="74">
        <f>$G$14/($G$11-$E$13)</f>
        <v>833.3333333333334</v>
      </c>
    </row>
    <row r="32" spans="6:8" ht="12.75">
      <c r="F32" t="s">
        <v>357</v>
      </c>
      <c r="H32" s="35">
        <f>H30*G11</f>
        <v>12500</v>
      </c>
    </row>
    <row r="33" spans="6:8" ht="12.75">
      <c r="F33" t="s">
        <v>364</v>
      </c>
      <c r="H33" s="35">
        <f>H30*E13</f>
        <v>2500</v>
      </c>
    </row>
    <row r="34" spans="6:8" ht="12.75">
      <c r="F34" t="s">
        <v>358</v>
      </c>
      <c r="H34" s="35">
        <f>G14</f>
        <v>10000</v>
      </c>
    </row>
    <row r="35" spans="6:8" ht="12.75">
      <c r="F35" t="s">
        <v>359</v>
      </c>
      <c r="H35" s="35">
        <f>H32-H33-H34</f>
        <v>0</v>
      </c>
    </row>
    <row r="37" spans="2:8" ht="12.75">
      <c r="B37" s="9" t="s">
        <v>375</v>
      </c>
      <c r="H37" s="35">
        <f>G14/G38</f>
        <v>12500</v>
      </c>
    </row>
    <row r="38" spans="5:7" ht="12.75">
      <c r="E38" t="s">
        <v>376</v>
      </c>
      <c r="G38" s="10">
        <f>(G11-E13)/G11</f>
        <v>0.8</v>
      </c>
    </row>
    <row r="40" ht="12.75">
      <c r="B40" s="9" t="s">
        <v>388</v>
      </c>
    </row>
    <row r="42" ht="12.75">
      <c r="C42" t="s">
        <v>377</v>
      </c>
    </row>
    <row r="43" ht="12.75">
      <c r="C43" t="s">
        <v>379</v>
      </c>
    </row>
    <row r="44" ht="12.75">
      <c r="C44" t="s">
        <v>380</v>
      </c>
    </row>
    <row r="46" ht="12.75">
      <c r="C46" t="s">
        <v>381</v>
      </c>
    </row>
    <row r="48" spans="5:7" ht="12.75">
      <c r="E48" t="s">
        <v>383</v>
      </c>
      <c r="G48" s="35">
        <v>16000</v>
      </c>
    </row>
    <row r="49" spans="5:7" ht="12.75">
      <c r="E49" t="s">
        <v>382</v>
      </c>
      <c r="F49" s="35"/>
      <c r="G49" s="74">
        <f>($G$14+G48)/($G$11-$E$13)</f>
        <v>2166.6666666666665</v>
      </c>
    </row>
    <row r="51" ht="12.75">
      <c r="B51" s="9" t="s">
        <v>389</v>
      </c>
    </row>
    <row r="53" ht="12.75">
      <c r="C53" t="s">
        <v>378</v>
      </c>
    </row>
    <row r="55" spans="5:8" ht="12.75">
      <c r="E55" t="s">
        <v>384</v>
      </c>
      <c r="H55" s="35">
        <f>G14</f>
        <v>10000</v>
      </c>
    </row>
    <row r="56" spans="5:8" ht="12.75">
      <c r="E56" t="s">
        <v>385</v>
      </c>
      <c r="H56" s="35">
        <v>4000</v>
      </c>
    </row>
    <row r="57" spans="5:8" ht="12.75">
      <c r="E57" t="s">
        <v>386</v>
      </c>
      <c r="H57" s="35">
        <f>H55-H56</f>
        <v>6000</v>
      </c>
    </row>
    <row r="58" spans="5:8" ht="12.75">
      <c r="E58" t="s">
        <v>387</v>
      </c>
      <c r="H58" s="74">
        <f>H57/($G$11-$E$13)</f>
        <v>500</v>
      </c>
    </row>
    <row r="61" ht="14.25">
      <c r="A61" s="38" t="s">
        <v>392</v>
      </c>
    </row>
    <row r="62" spans="1:9" ht="14.25">
      <c r="A62" s="38"/>
      <c r="H62" s="5" t="s">
        <v>406</v>
      </c>
      <c r="I62" s="5" t="s">
        <v>405</v>
      </c>
    </row>
    <row r="63" spans="8:9" ht="12.75">
      <c r="H63" s="6" t="s">
        <v>407</v>
      </c>
      <c r="I63" s="6" t="s">
        <v>402</v>
      </c>
    </row>
    <row r="64" spans="3:9" ht="12.75">
      <c r="C64" t="s">
        <v>393</v>
      </c>
      <c r="H64" s="35">
        <v>750000</v>
      </c>
      <c r="I64" s="35">
        <f>28000*24</f>
        <v>672000</v>
      </c>
    </row>
    <row r="65" spans="3:9" ht="12.75">
      <c r="C65" t="s">
        <v>394</v>
      </c>
      <c r="H65" s="35">
        <v>-210000</v>
      </c>
      <c r="I65" s="35">
        <f>28000*-7</f>
        <v>-196000</v>
      </c>
    </row>
    <row r="66" spans="3:9" ht="12.75">
      <c r="C66" t="s">
        <v>395</v>
      </c>
      <c r="H66" s="36">
        <v>-270000</v>
      </c>
      <c r="I66" s="36">
        <v>-270000</v>
      </c>
    </row>
    <row r="67" spans="4:9" ht="12.75">
      <c r="D67" t="s">
        <v>396</v>
      </c>
      <c r="H67" s="35">
        <f>SUM(H64:H66)</f>
        <v>270000</v>
      </c>
      <c r="I67" s="35">
        <f>SUM(I64:I66)</f>
        <v>206000</v>
      </c>
    </row>
    <row r="68" spans="3:9" ht="12.75">
      <c r="C68" t="s">
        <v>397</v>
      </c>
      <c r="H68" s="36">
        <v>-170000</v>
      </c>
      <c r="I68" s="36">
        <v>-170000</v>
      </c>
    </row>
    <row r="69" spans="4:9" ht="12.75">
      <c r="D69" t="s">
        <v>398</v>
      </c>
      <c r="H69" s="35">
        <f>SUM(H67:H68)</f>
        <v>100000</v>
      </c>
      <c r="I69" s="35">
        <f>SUM(I67:I68)</f>
        <v>36000</v>
      </c>
    </row>
    <row r="70" spans="3:9" ht="12.75">
      <c r="C70" t="s">
        <v>399</v>
      </c>
      <c r="H70" s="36">
        <v>-34000</v>
      </c>
      <c r="I70" s="36">
        <v>-12240</v>
      </c>
    </row>
    <row r="71" spans="4:9" ht="13.5" thickBot="1">
      <c r="D71" t="s">
        <v>400</v>
      </c>
      <c r="H71" s="76">
        <f>SUM(H69:H70)</f>
        <v>66000</v>
      </c>
      <c r="I71" s="76">
        <f>SUM(I69:I70)</f>
        <v>23760</v>
      </c>
    </row>
    <row r="72" ht="13.5" thickTop="1">
      <c r="H72" s="35"/>
    </row>
    <row r="73" spans="3:8" ht="12.75">
      <c r="C73" t="s">
        <v>401</v>
      </c>
      <c r="H73" s="72">
        <f>H67/(H67+H68)</f>
        <v>2.7</v>
      </c>
    </row>
    <row r="74" ht="12.75">
      <c r="H74" s="35"/>
    </row>
    <row r="75" spans="6:9" ht="12.75">
      <c r="F75" t="s">
        <v>403</v>
      </c>
      <c r="I75" s="10">
        <f>(I67-H67)/H67</f>
        <v>-0.23703703703703705</v>
      </c>
    </row>
    <row r="76" spans="6:9" ht="12.75">
      <c r="F76" t="s">
        <v>404</v>
      </c>
      <c r="I76" s="10">
        <f>(I71-H71)/H71</f>
        <v>-0.64</v>
      </c>
    </row>
    <row r="77" spans="6:9" ht="12.75">
      <c r="F77" t="s">
        <v>408</v>
      </c>
      <c r="I77" s="11">
        <f>I76/I75</f>
        <v>2.6999999999999997</v>
      </c>
    </row>
    <row r="79" spans="3:6" ht="12.75">
      <c r="C79" s="34" t="s">
        <v>409</v>
      </c>
      <c r="F79" t="s">
        <v>410</v>
      </c>
    </row>
    <row r="80" spans="6:7" ht="12.75">
      <c r="F80" s="79" t="s">
        <v>420</v>
      </c>
      <c r="G80" s="79" t="s">
        <v>419</v>
      </c>
    </row>
    <row r="81" spans="4:9" ht="12.75">
      <c r="D81" t="s">
        <v>411</v>
      </c>
      <c r="F81" s="35">
        <v>1700000</v>
      </c>
      <c r="G81" s="35">
        <v>2000000</v>
      </c>
      <c r="I81" t="s">
        <v>415</v>
      </c>
    </row>
    <row r="82" spans="4:9" ht="12.75">
      <c r="D82" t="s">
        <v>414</v>
      </c>
      <c r="E82" s="78">
        <v>25</v>
      </c>
      <c r="F82" s="36">
        <v>800000</v>
      </c>
      <c r="G82" s="36">
        <v>500000</v>
      </c>
      <c r="I82" t="s">
        <v>416</v>
      </c>
    </row>
    <row r="83" spans="5:9" ht="13.5" thickBot="1">
      <c r="E83" t="s">
        <v>53</v>
      </c>
      <c r="F83" s="76">
        <f>SUM(F81:F82)</f>
        <v>2500000</v>
      </c>
      <c r="G83" s="76">
        <f>SUM(G81:G82)</f>
        <v>2500000</v>
      </c>
      <c r="I83" t="s">
        <v>417</v>
      </c>
    </row>
    <row r="84" spans="4:9" ht="13.5" thickTop="1">
      <c r="D84" t="s">
        <v>412</v>
      </c>
      <c r="F84" s="8">
        <f>F82/E82</f>
        <v>32000</v>
      </c>
      <c r="G84" s="8">
        <f>G82/E82</f>
        <v>20000</v>
      </c>
      <c r="I84" t="s">
        <v>418</v>
      </c>
    </row>
    <row r="85" spans="4:7" ht="13.5" thickBot="1">
      <c r="D85" t="s">
        <v>413</v>
      </c>
      <c r="F85" s="77">
        <f>H71/F84</f>
        <v>2.0625</v>
      </c>
      <c r="G85" s="77">
        <f>H71/G84</f>
        <v>3.3</v>
      </c>
    </row>
    <row r="86" ht="13.5" thickTop="1"/>
    <row r="89" spans="3:8" ht="12.75">
      <c r="C89" t="s">
        <v>393</v>
      </c>
      <c r="H89" s="35">
        <v>750000</v>
      </c>
    </row>
    <row r="90" spans="3:8" ht="12.75">
      <c r="C90" t="s">
        <v>394</v>
      </c>
      <c r="H90" s="35">
        <v>-210000</v>
      </c>
    </row>
    <row r="91" spans="3:8" ht="12.75">
      <c r="C91" t="s">
        <v>395</v>
      </c>
      <c r="H91" s="36">
        <v>-270000</v>
      </c>
    </row>
    <row r="92" spans="4:8" ht="12.75">
      <c r="D92" t="s">
        <v>396</v>
      </c>
      <c r="H92" s="35">
        <f>SUM(H89:H91)</f>
        <v>270000</v>
      </c>
    </row>
    <row r="93" spans="3:8" ht="12.75">
      <c r="C93" t="s">
        <v>397</v>
      </c>
      <c r="H93" s="36">
        <v>-170000</v>
      </c>
    </row>
    <row r="94" spans="4:8" ht="12.75">
      <c r="D94" t="s">
        <v>398</v>
      </c>
      <c r="H94" s="35">
        <f>SUM(H92:H93)</f>
        <v>100000</v>
      </c>
    </row>
    <row r="95" spans="3:8" ht="12.75">
      <c r="C95" t="s">
        <v>399</v>
      </c>
      <c r="H95" s="36">
        <v>-34000</v>
      </c>
    </row>
    <row r="96" spans="4:8" ht="13.5" thickBot="1">
      <c r="D96" t="s">
        <v>400</v>
      </c>
      <c r="H96" s="76">
        <f>SUM(H94:H95)</f>
        <v>66000</v>
      </c>
    </row>
    <row r="97" ht="13.5" thickTop="1"/>
    <row r="98" ht="12.75">
      <c r="C98" t="s">
        <v>421</v>
      </c>
    </row>
    <row r="99" ht="12.75">
      <c r="C99" t="s">
        <v>422</v>
      </c>
    </row>
    <row r="100" ht="12.75">
      <c r="C100" t="s">
        <v>423</v>
      </c>
    </row>
    <row r="101" spans="3:4" ht="12.75">
      <c r="C101" t="s">
        <v>424</v>
      </c>
      <c r="D101" s="80" t="s">
        <v>431</v>
      </c>
    </row>
    <row r="103" ht="12.75">
      <c r="C103" t="s">
        <v>425</v>
      </c>
    </row>
    <row r="104" ht="12.75">
      <c r="C104" t="s">
        <v>426</v>
      </c>
    </row>
    <row r="105" spans="3:4" ht="12.75">
      <c r="C105" t="s">
        <v>427</v>
      </c>
      <c r="D105" s="80" t="s">
        <v>432</v>
      </c>
    </row>
    <row r="107" ht="12.75">
      <c r="C107" t="s">
        <v>428</v>
      </c>
    </row>
    <row r="108" ht="12.75">
      <c r="C108" t="s">
        <v>429</v>
      </c>
    </row>
    <row r="109" ht="12.75">
      <c r="C109" t="s">
        <v>430</v>
      </c>
    </row>
  </sheetData>
  <hyperlinks>
    <hyperlink ref="J1" location="'Main Menu'!A1" display="Main Menu"/>
  </hyperlinks>
  <printOptions/>
  <pageMargins left="0.75" right="0.75" top="1" bottom="1" header="0.5" footer="0.5"/>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K109"/>
  <sheetViews>
    <sheetView workbookViewId="0" topLeftCell="A1">
      <selection activeCell="J1" sqref="J1"/>
    </sheetView>
  </sheetViews>
  <sheetFormatPr defaultColWidth="9.140625" defaultRowHeight="12.75"/>
  <cols>
    <col min="2" max="2" width="12.140625" style="0" customWidth="1"/>
    <col min="3" max="3" width="13.140625" style="0" customWidth="1"/>
    <col min="4" max="4" width="14.00390625" style="0" customWidth="1"/>
    <col min="5" max="5" width="12.7109375" style="0" customWidth="1"/>
    <col min="6" max="6" width="13.421875" style="0" customWidth="1"/>
    <col min="7" max="7" width="12.7109375" style="0" customWidth="1"/>
    <col min="8" max="8" width="12.140625" style="0" customWidth="1"/>
  </cols>
  <sheetData>
    <row r="1" spans="3:10" ht="18">
      <c r="C1" s="1" t="s">
        <v>0</v>
      </c>
      <c r="J1" s="104" t="s">
        <v>517</v>
      </c>
    </row>
    <row r="2" ht="18">
      <c r="C2" s="1" t="s">
        <v>354</v>
      </c>
    </row>
    <row r="3" spans="1:11" ht="4.5" customHeight="1">
      <c r="A3" s="2"/>
      <c r="B3" s="2"/>
      <c r="C3" s="2"/>
      <c r="D3" s="2"/>
      <c r="E3" s="2"/>
      <c r="F3" s="2"/>
      <c r="G3" s="2"/>
      <c r="H3" s="2"/>
      <c r="I3" s="2"/>
      <c r="J3" s="2"/>
      <c r="K3" s="2"/>
    </row>
    <row r="4" spans="1:6" ht="12.75">
      <c r="A4" s="3" t="s">
        <v>433</v>
      </c>
      <c r="B4" s="3"/>
      <c r="C4" s="3"/>
      <c r="D4" s="3"/>
      <c r="E4" s="3"/>
      <c r="F4" s="3"/>
    </row>
    <row r="5" ht="12.75">
      <c r="A5" s="3" t="s">
        <v>434</v>
      </c>
    </row>
    <row r="6" ht="12.75">
      <c r="A6" s="3"/>
    </row>
    <row r="8" ht="14.25">
      <c r="A8" s="38" t="s">
        <v>451</v>
      </c>
    </row>
    <row r="9" ht="13.5" thickBot="1"/>
    <row r="10" spans="2:6" ht="12.75">
      <c r="B10" s="81" t="s">
        <v>435</v>
      </c>
      <c r="C10" s="81" t="s">
        <v>436</v>
      </c>
      <c r="D10" s="81" t="s">
        <v>437</v>
      </c>
      <c r="E10" s="81" t="s">
        <v>438</v>
      </c>
      <c r="F10" s="81" t="s">
        <v>450</v>
      </c>
    </row>
    <row r="11" spans="2:6" ht="15" thickBot="1">
      <c r="B11" s="85" t="s">
        <v>447</v>
      </c>
      <c r="C11" s="85" t="s">
        <v>448</v>
      </c>
      <c r="D11" s="85" t="s">
        <v>439</v>
      </c>
      <c r="E11" s="85" t="s">
        <v>202</v>
      </c>
      <c r="F11" s="85" t="s">
        <v>449</v>
      </c>
    </row>
    <row r="12" spans="2:6" ht="12.75">
      <c r="B12" s="88">
        <v>0</v>
      </c>
      <c r="C12" s="88">
        <f>1-B12</f>
        <v>1</v>
      </c>
      <c r="D12" s="89">
        <f>B12/C12</f>
        <v>0</v>
      </c>
      <c r="E12" s="81" t="s">
        <v>440</v>
      </c>
      <c r="F12" s="90">
        <v>0.07</v>
      </c>
    </row>
    <row r="13" spans="2:6" ht="12.75">
      <c r="B13" s="82">
        <v>0.2</v>
      </c>
      <c r="C13" s="82">
        <f>1-B13</f>
        <v>0.8</v>
      </c>
      <c r="D13" s="83">
        <f>B13/C13</f>
        <v>0.25</v>
      </c>
      <c r="E13" s="82" t="s">
        <v>441</v>
      </c>
      <c r="F13" s="84">
        <v>0.08</v>
      </c>
    </row>
    <row r="14" spans="2:6" ht="12.75">
      <c r="B14" s="82">
        <v>0.4</v>
      </c>
      <c r="C14" s="82">
        <f>1-B14</f>
        <v>0.6</v>
      </c>
      <c r="D14" s="83">
        <f>B14/C14</f>
        <v>0.6666666666666667</v>
      </c>
      <c r="E14" s="82" t="s">
        <v>442</v>
      </c>
      <c r="F14" s="84">
        <v>0.1</v>
      </c>
    </row>
    <row r="15" spans="2:6" ht="12.75">
      <c r="B15" s="82">
        <v>0.6</v>
      </c>
      <c r="C15" s="82">
        <f>1-B15</f>
        <v>0.4</v>
      </c>
      <c r="D15" s="83">
        <f>B15/C15</f>
        <v>1.4999999999999998</v>
      </c>
      <c r="E15" s="82" t="s">
        <v>443</v>
      </c>
      <c r="F15" s="84">
        <v>0.12</v>
      </c>
    </row>
    <row r="16" spans="2:6" ht="13.5" thickBot="1">
      <c r="B16" s="85">
        <v>0.8</v>
      </c>
      <c r="C16" s="85">
        <f>1-B16</f>
        <v>0.19999999999999996</v>
      </c>
      <c r="D16" s="86">
        <f>B16/C16</f>
        <v>4.000000000000001</v>
      </c>
      <c r="E16" s="85" t="s">
        <v>444</v>
      </c>
      <c r="F16" s="87">
        <v>0.15</v>
      </c>
    </row>
    <row r="17" spans="2:6" ht="12.75">
      <c r="B17" t="s">
        <v>3</v>
      </c>
      <c r="E17" s="92" t="s">
        <v>458</v>
      </c>
      <c r="F17" s="93">
        <v>0.4</v>
      </c>
    </row>
    <row r="19" ht="14.25">
      <c r="A19" s="38" t="s">
        <v>452</v>
      </c>
    </row>
    <row r="21" spans="2:4" ht="15.75">
      <c r="B21" t="s">
        <v>454</v>
      </c>
      <c r="D21" s="10">
        <v>0.05</v>
      </c>
    </row>
    <row r="22" spans="2:4" ht="15.75">
      <c r="B22" t="s">
        <v>455</v>
      </c>
      <c r="D22" s="10">
        <v>0.11</v>
      </c>
    </row>
    <row r="23" spans="2:4" ht="12.75">
      <c r="B23" t="s">
        <v>453</v>
      </c>
      <c r="D23">
        <v>1.2</v>
      </c>
    </row>
    <row r="24" spans="2:4" ht="15.75">
      <c r="B24" t="s">
        <v>456</v>
      </c>
      <c r="D24" s="91">
        <f>D21+(D23*(D22-D21))</f>
        <v>0.122</v>
      </c>
    </row>
    <row r="25" ht="15.75">
      <c r="D25" t="s">
        <v>457</v>
      </c>
    </row>
    <row r="26" ht="12.75">
      <c r="B26" t="s">
        <v>3</v>
      </c>
    </row>
    <row r="27" spans="2:4" ht="15.75">
      <c r="B27" t="s">
        <v>459</v>
      </c>
      <c r="D27" s="10">
        <f>D22-D21</f>
        <v>0.06</v>
      </c>
    </row>
    <row r="30" ht="14.25">
      <c r="A30" s="38" t="s">
        <v>460</v>
      </c>
    </row>
    <row r="32" spans="2:4" ht="15.75">
      <c r="B32" t="s">
        <v>461</v>
      </c>
      <c r="D32" s="3" t="s">
        <v>466</v>
      </c>
    </row>
    <row r="34" ht="15.75">
      <c r="B34" t="s">
        <v>462</v>
      </c>
    </row>
    <row r="35" ht="15.75">
      <c r="B35" t="s">
        <v>463</v>
      </c>
    </row>
    <row r="36" ht="12.75">
      <c r="B36" t="s">
        <v>464</v>
      </c>
    </row>
    <row r="37" ht="12.75">
      <c r="B37" t="s">
        <v>465</v>
      </c>
    </row>
    <row r="39" spans="2:9" ht="12.75">
      <c r="B39" s="3" t="s">
        <v>467</v>
      </c>
      <c r="C39" s="3"/>
      <c r="D39" s="3"/>
      <c r="E39" s="3"/>
      <c r="F39" s="3"/>
      <c r="G39" s="3"/>
      <c r="H39" s="3"/>
      <c r="I39" s="3"/>
    </row>
    <row r="40" spans="2:9" ht="12.75">
      <c r="B40" s="3" t="s">
        <v>468</v>
      </c>
      <c r="C40" s="3"/>
      <c r="D40" s="3"/>
      <c r="E40" s="3"/>
      <c r="F40" s="3"/>
      <c r="G40" s="3"/>
      <c r="H40" s="3"/>
      <c r="I40" s="3"/>
    </row>
    <row r="41" spans="2:9" ht="12.75">
      <c r="B41" s="3" t="s">
        <v>469</v>
      </c>
      <c r="C41" s="3"/>
      <c r="D41" s="3"/>
      <c r="E41" s="3"/>
      <c r="F41" s="3"/>
      <c r="G41" s="3"/>
      <c r="H41" s="3"/>
      <c r="I41" s="3"/>
    </row>
    <row r="42" spans="2:9" ht="12.75">
      <c r="B42" s="3" t="s">
        <v>470</v>
      </c>
      <c r="C42" s="3"/>
      <c r="D42" s="3"/>
      <c r="E42" s="3"/>
      <c r="F42" s="3"/>
      <c r="G42" s="3"/>
      <c r="H42" s="3"/>
      <c r="I42" s="3"/>
    </row>
    <row r="43" spans="2:9" ht="12.75">
      <c r="B43" s="3" t="s">
        <v>471</v>
      </c>
      <c r="C43" s="3"/>
      <c r="D43" s="3"/>
      <c r="E43" s="3"/>
      <c r="F43" s="3"/>
      <c r="G43" s="3"/>
      <c r="H43" s="3"/>
      <c r="I43" s="3"/>
    </row>
    <row r="44" ht="13.5" thickBot="1"/>
    <row r="45" spans="2:5" ht="12.75">
      <c r="B45" s="81" t="s">
        <v>472</v>
      </c>
      <c r="C45" s="81" t="s">
        <v>473</v>
      </c>
      <c r="D45" s="81" t="s">
        <v>445</v>
      </c>
      <c r="E45" s="81"/>
    </row>
    <row r="46" spans="2:5" ht="15" thickBot="1">
      <c r="B46" s="85" t="s">
        <v>449</v>
      </c>
      <c r="C46" s="85" t="s">
        <v>474</v>
      </c>
      <c r="D46" s="85" t="s">
        <v>475</v>
      </c>
      <c r="E46" s="85" t="s">
        <v>446</v>
      </c>
    </row>
    <row r="47" spans="2:5" ht="12.75">
      <c r="B47" s="90">
        <f>F12*(1-$F$17)</f>
        <v>0.042</v>
      </c>
      <c r="C47" s="89">
        <f>$D$23*(1+(1-$F$17)*D12)</f>
        <v>1.2</v>
      </c>
      <c r="D47" s="90">
        <f>$D$21+$D$27*C47</f>
        <v>0.122</v>
      </c>
      <c r="E47" s="90">
        <f>(B12*B47)+(C12*D47)</f>
        <v>0.122</v>
      </c>
    </row>
    <row r="48" spans="2:5" ht="12.75">
      <c r="B48" s="84">
        <f>F13*(1-$F$17)</f>
        <v>0.048</v>
      </c>
      <c r="C48" s="83">
        <f>$D$23*(1+(1-$F$17)*D13)</f>
        <v>1.38</v>
      </c>
      <c r="D48" s="84">
        <f>$D$21+$D$27*C48</f>
        <v>0.13279999999999997</v>
      </c>
      <c r="E48" s="84">
        <f>(B13*B48)+(C13*D48)</f>
        <v>0.11583999999999998</v>
      </c>
    </row>
    <row r="49" spans="2:5" ht="12.75">
      <c r="B49" s="84">
        <f>F14*(1-$F$17)</f>
        <v>0.06</v>
      </c>
      <c r="C49" s="83">
        <f>$D$23*(1+(1-$F$17)*D14)</f>
        <v>1.68</v>
      </c>
      <c r="D49" s="84">
        <f>$D$21+$D$27*C49</f>
        <v>0.1508</v>
      </c>
      <c r="E49" s="95">
        <f>(B14*B49)+(C14*D49)</f>
        <v>0.11448</v>
      </c>
    </row>
    <row r="50" spans="2:8" ht="12.75">
      <c r="B50" s="84">
        <f>F15*(1-$F$17)</f>
        <v>0.072</v>
      </c>
      <c r="C50" s="83">
        <f>$D$23*(1+(1-$F$17)*D15)</f>
        <v>2.28</v>
      </c>
      <c r="D50" s="84">
        <f>$D$21+$D$27*C50</f>
        <v>0.18679999999999997</v>
      </c>
      <c r="E50" s="84">
        <f>(B15*B50)+(C15*D50)</f>
        <v>0.11792</v>
      </c>
      <c r="G50" s="3" t="s">
        <v>477</v>
      </c>
      <c r="H50" s="3"/>
    </row>
    <row r="51" spans="2:8" ht="13.5" thickBot="1">
      <c r="B51" s="87">
        <f>F16*(1-$F$17)</f>
        <v>0.09</v>
      </c>
      <c r="C51" s="86">
        <f>$D$23*(1+(1-$F$17)*D16)</f>
        <v>4.08</v>
      </c>
      <c r="D51" s="87">
        <f>$D$21+$D$27*C51</f>
        <v>0.2948</v>
      </c>
      <c r="E51" s="87">
        <f>(B16*B51)+(C16*D51)</f>
        <v>0.13096</v>
      </c>
      <c r="G51" s="3" t="s">
        <v>478</v>
      </c>
      <c r="H51" s="3"/>
    </row>
    <row r="52" spans="7:8" ht="13.5" thickBot="1">
      <c r="G52" s="3" t="s">
        <v>479</v>
      </c>
      <c r="H52" s="3"/>
    </row>
    <row r="53" spans="3:8" ht="13.5" thickBot="1">
      <c r="C53" s="9" t="s">
        <v>476</v>
      </c>
      <c r="D53" s="9"/>
      <c r="E53" s="94">
        <f>MIN(E47:E51)</f>
        <v>0.11448</v>
      </c>
      <c r="G53" s="3" t="s">
        <v>480</v>
      </c>
      <c r="H53" s="3"/>
    </row>
    <row r="54" spans="7:8" ht="12.75">
      <c r="G54" s="3" t="s">
        <v>481</v>
      </c>
      <c r="H54" s="3"/>
    </row>
    <row r="55" spans="7:8" ht="12.75">
      <c r="G55" s="3" t="s">
        <v>482</v>
      </c>
      <c r="H55" s="3"/>
    </row>
    <row r="58" ht="14.25">
      <c r="A58" s="38" t="s">
        <v>483</v>
      </c>
    </row>
    <row r="60" ht="12.75">
      <c r="B60" s="3" t="s">
        <v>484</v>
      </c>
    </row>
    <row r="61" ht="12.75">
      <c r="B61" s="3" t="s">
        <v>485</v>
      </c>
    </row>
    <row r="62" ht="12.75">
      <c r="B62" s="3" t="s">
        <v>498</v>
      </c>
    </row>
    <row r="63" ht="12.75">
      <c r="B63" s="3" t="s">
        <v>486</v>
      </c>
    </row>
    <row r="64" ht="12.75">
      <c r="B64" s="3" t="s">
        <v>487</v>
      </c>
    </row>
    <row r="65" ht="12.75">
      <c r="B65" s="3" t="s">
        <v>488</v>
      </c>
    </row>
    <row r="67" ht="12.75">
      <c r="B67" s="32" t="s">
        <v>494</v>
      </c>
    </row>
    <row r="68" ht="12.75">
      <c r="B68" s="32" t="s">
        <v>495</v>
      </c>
    </row>
    <row r="69" ht="12.75">
      <c r="B69" s="32" t="s">
        <v>496</v>
      </c>
    </row>
    <row r="70" ht="12.75">
      <c r="B70" s="32" t="s">
        <v>497</v>
      </c>
    </row>
    <row r="71" ht="12.75">
      <c r="B71" s="32"/>
    </row>
    <row r="72" spans="1:4" ht="13.5" thickBot="1">
      <c r="A72" t="s">
        <v>3</v>
      </c>
      <c r="B72" s="9" t="s">
        <v>499</v>
      </c>
      <c r="D72" s="49">
        <v>10000000</v>
      </c>
    </row>
    <row r="73" spans="2:7" ht="12.75">
      <c r="B73" s="81" t="s">
        <v>3</v>
      </c>
      <c r="C73" s="81" t="s">
        <v>489</v>
      </c>
      <c r="D73" s="81"/>
      <c r="E73" s="81"/>
      <c r="F73" s="81" t="s">
        <v>493</v>
      </c>
      <c r="G73" s="81" t="s">
        <v>500</v>
      </c>
    </row>
    <row r="74" spans="2:7" ht="13.5" thickBot="1">
      <c r="B74" s="85" t="s">
        <v>446</v>
      </c>
      <c r="C74" s="85" t="s">
        <v>490</v>
      </c>
      <c r="D74" s="85" t="s">
        <v>491</v>
      </c>
      <c r="E74" s="85" t="s">
        <v>492</v>
      </c>
      <c r="F74" s="85" t="s">
        <v>16</v>
      </c>
      <c r="G74" s="85" t="s">
        <v>16</v>
      </c>
    </row>
    <row r="75" spans="2:7" ht="12.75">
      <c r="B75" s="90">
        <f>E47</f>
        <v>0.122</v>
      </c>
      <c r="C75" s="49">
        <f>$D$72*B12</f>
        <v>0</v>
      </c>
      <c r="D75" s="98">
        <v>2200000</v>
      </c>
      <c r="E75" s="98">
        <f>(D75-(C75*F12))*(1-$F$17)</f>
        <v>1320000</v>
      </c>
      <c r="F75" s="98">
        <f>E75/B75</f>
        <v>10819672.131147541</v>
      </c>
      <c r="G75" s="98"/>
    </row>
    <row r="76" spans="2:7" ht="12.75">
      <c r="B76" s="84">
        <f>E48</f>
        <v>0.11583999999999998</v>
      </c>
      <c r="C76" s="49">
        <f>$D$72*B13</f>
        <v>2000000</v>
      </c>
      <c r="D76" s="99">
        <v>2200000</v>
      </c>
      <c r="E76" s="99">
        <f>(D76-(C76*F13))*(1-$F$17)</f>
        <v>1224000</v>
      </c>
      <c r="F76" s="99">
        <f>E76/B76</f>
        <v>10566298.342541438</v>
      </c>
      <c r="G76" s="99">
        <f>F76-F75</f>
        <v>-253373.7886061035</v>
      </c>
    </row>
    <row r="77" spans="2:7" ht="12.75">
      <c r="B77" s="84">
        <f>E49</f>
        <v>0.11448</v>
      </c>
      <c r="C77" s="49">
        <f>$D$72*B14</f>
        <v>4000000</v>
      </c>
      <c r="D77" s="99">
        <v>2200000</v>
      </c>
      <c r="E77" s="99">
        <f>(D77-(C77*F14))*(1-$F$17)</f>
        <v>1080000</v>
      </c>
      <c r="F77" s="99">
        <f>E77/B77</f>
        <v>9433962.264150944</v>
      </c>
      <c r="G77" s="99">
        <f>F77-F76</f>
        <v>-1132336.078390494</v>
      </c>
    </row>
    <row r="78" spans="2:7" ht="12.75">
      <c r="B78" s="84">
        <f>E50</f>
        <v>0.11792</v>
      </c>
      <c r="C78" s="49">
        <f>$D$72*B15</f>
        <v>6000000</v>
      </c>
      <c r="D78" s="99">
        <v>2200000</v>
      </c>
      <c r="E78" s="99">
        <f>(D78-(C78*F15))*(1-$F$17)</f>
        <v>888000</v>
      </c>
      <c r="F78" s="99">
        <f>E78/B78</f>
        <v>7530529.172320217</v>
      </c>
      <c r="G78" s="99">
        <f>F78-F77</f>
        <v>-1903433.0918307267</v>
      </c>
    </row>
    <row r="79" spans="2:7" ht="13.5" thickBot="1">
      <c r="B79" s="87">
        <f>E51</f>
        <v>0.13096</v>
      </c>
      <c r="C79" s="97">
        <f>$D$72*B16</f>
        <v>8000000</v>
      </c>
      <c r="D79" s="96">
        <v>2200000</v>
      </c>
      <c r="E79" s="96">
        <f>(D79-(C79*F16))*(1-$F$17)</f>
        <v>600000</v>
      </c>
      <c r="F79" s="96">
        <f>E79/B79</f>
        <v>4581551.618814905</v>
      </c>
      <c r="G79" s="96">
        <f>F79-F78</f>
        <v>-2948977.5535053117</v>
      </c>
    </row>
    <row r="82" ht="12.75">
      <c r="B82" t="s">
        <v>509</v>
      </c>
    </row>
    <row r="83" ht="12.75">
      <c r="B83" t="s">
        <v>510</v>
      </c>
    </row>
    <row r="85" spans="2:4" ht="13.5" thickBot="1">
      <c r="B85" s="9" t="s">
        <v>508</v>
      </c>
      <c r="C85" s="9"/>
      <c r="D85" s="100">
        <v>10</v>
      </c>
    </row>
    <row r="86" spans="2:9" ht="12.75">
      <c r="B86" s="81" t="s">
        <v>3</v>
      </c>
      <c r="C86" s="81" t="s">
        <v>501</v>
      </c>
      <c r="D86" s="81" t="s">
        <v>502</v>
      </c>
      <c r="E86" s="81" t="s">
        <v>504</v>
      </c>
      <c r="F86" s="81" t="s">
        <v>506</v>
      </c>
      <c r="G86" s="81" t="s">
        <v>445</v>
      </c>
      <c r="I86" s="3" t="s">
        <v>511</v>
      </c>
    </row>
    <row r="87" spans="2:9" ht="13.5" thickBot="1">
      <c r="B87" s="85" t="s">
        <v>446</v>
      </c>
      <c r="C87" s="85" t="s">
        <v>490</v>
      </c>
      <c r="D87" s="85" t="s">
        <v>503</v>
      </c>
      <c r="E87" s="85" t="s">
        <v>505</v>
      </c>
      <c r="F87" s="85" t="s">
        <v>507</v>
      </c>
      <c r="G87" s="85" t="s">
        <v>501</v>
      </c>
      <c r="I87" s="3" t="s">
        <v>512</v>
      </c>
    </row>
    <row r="88" spans="2:9" ht="12.75">
      <c r="B88" s="90">
        <f>E47</f>
        <v>0.122</v>
      </c>
      <c r="C88" s="49">
        <f>$D$72*C12</f>
        <v>10000000</v>
      </c>
      <c r="D88" s="98">
        <f>C88/$D$85</f>
        <v>1000000</v>
      </c>
      <c r="E88" s="101">
        <f>E75/D88</f>
        <v>1.32</v>
      </c>
      <c r="F88" s="101">
        <f>F75/D88</f>
        <v>10.819672131147541</v>
      </c>
      <c r="G88" s="98">
        <f>C88*D47</f>
        <v>1220000</v>
      </c>
      <c r="I88" s="3" t="s">
        <v>513</v>
      </c>
    </row>
    <row r="89" spans="2:9" ht="12.75">
      <c r="B89" s="84">
        <f>E48</f>
        <v>0.11583999999999998</v>
      </c>
      <c r="C89" s="49">
        <f>$D$72*C13</f>
        <v>8000000</v>
      </c>
      <c r="D89" s="99">
        <f>C89/$D$85</f>
        <v>800000</v>
      </c>
      <c r="E89" s="102">
        <f>E76/D89</f>
        <v>1.53</v>
      </c>
      <c r="F89" s="102">
        <f>F76/D89</f>
        <v>13.207872928176798</v>
      </c>
      <c r="G89" s="99">
        <f>C89*D48</f>
        <v>1062399.9999999998</v>
      </c>
      <c r="I89" s="3" t="s">
        <v>514</v>
      </c>
    </row>
    <row r="90" spans="2:9" ht="12.75">
      <c r="B90" s="84">
        <f>E49</f>
        <v>0.11448</v>
      </c>
      <c r="C90" s="49">
        <f>$D$72*C14</f>
        <v>6000000</v>
      </c>
      <c r="D90" s="99">
        <f>C90/$D$85</f>
        <v>600000</v>
      </c>
      <c r="E90" s="102">
        <f>E77/D90</f>
        <v>1.8</v>
      </c>
      <c r="F90" s="102">
        <f>F77/D90</f>
        <v>15.723270440251573</v>
      </c>
      <c r="G90" s="99">
        <f>C90*D49</f>
        <v>904799.9999999999</v>
      </c>
      <c r="I90" s="3" t="s">
        <v>518</v>
      </c>
    </row>
    <row r="91" spans="2:9" ht="12.75">
      <c r="B91" s="84">
        <f>E50</f>
        <v>0.11792</v>
      </c>
      <c r="C91" s="49">
        <f>$D$72*C15</f>
        <v>4000000</v>
      </c>
      <c r="D91" s="99">
        <f>C91/$D$85</f>
        <v>400000</v>
      </c>
      <c r="E91" s="102">
        <f>E78/D91</f>
        <v>2.22</v>
      </c>
      <c r="F91" s="102">
        <f>F78/D91</f>
        <v>18.826322930800544</v>
      </c>
      <c r="G91" s="99">
        <f>C91*D50</f>
        <v>747199.9999999999</v>
      </c>
      <c r="I91" s="3" t="s">
        <v>519</v>
      </c>
    </row>
    <row r="92" spans="2:9" ht="13.5" thickBot="1">
      <c r="B92" s="87">
        <f>E51</f>
        <v>0.13096</v>
      </c>
      <c r="C92" s="96">
        <f>$D$72*C16</f>
        <v>1999999.9999999995</v>
      </c>
      <c r="D92" s="96">
        <f>C92/$D$85</f>
        <v>199999.99999999994</v>
      </c>
      <c r="E92" s="103">
        <f>E79/D92</f>
        <v>3.000000000000001</v>
      </c>
      <c r="F92" s="103">
        <f>F79/D92</f>
        <v>22.907758094074534</v>
      </c>
      <c r="G92" s="96">
        <f>C92*D51</f>
        <v>589599.9999999999</v>
      </c>
      <c r="I92" s="3" t="s">
        <v>520</v>
      </c>
    </row>
    <row r="93" ht="12.75">
      <c r="I93" s="3" t="s">
        <v>521</v>
      </c>
    </row>
    <row r="95" ht="12.75">
      <c r="B95" t="s">
        <v>515</v>
      </c>
    </row>
    <row r="96" ht="12.75">
      <c r="B96" t="s">
        <v>522</v>
      </c>
    </row>
    <row r="97" ht="12.75">
      <c r="B97" t="s">
        <v>523</v>
      </c>
    </row>
    <row r="104" spans="2:5" ht="12.75">
      <c r="B104" t="s">
        <v>526</v>
      </c>
      <c r="E104" t="s">
        <v>528</v>
      </c>
    </row>
    <row r="105" spans="2:5" ht="12.75">
      <c r="B105" t="s">
        <v>527</v>
      </c>
      <c r="E105" t="s">
        <v>529</v>
      </c>
    </row>
    <row r="106" spans="2:5" ht="15.75">
      <c r="B106" t="s">
        <v>530</v>
      </c>
      <c r="E106" t="s">
        <v>531</v>
      </c>
    </row>
    <row r="108" spans="2:6" ht="12.75">
      <c r="B108" t="s">
        <v>524</v>
      </c>
      <c r="F108" s="8"/>
    </row>
    <row r="109" spans="2:7" ht="12.75">
      <c r="B109" t="s">
        <v>525</v>
      </c>
      <c r="D109" s="114" t="s">
        <v>516</v>
      </c>
      <c r="E109" s="115"/>
      <c r="F109" s="115"/>
      <c r="G109" s="115"/>
    </row>
  </sheetData>
  <mergeCells count="1">
    <mergeCell ref="D109:G109"/>
  </mergeCells>
  <hyperlinks>
    <hyperlink ref="D109" r:id="rId1" display="http://www.exinfm.com/training/pdfiles/course06.pdf "/>
    <hyperlink ref="J1" location="'Main Menu'!A1" display="Main Menu"/>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Customs and Border Protection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Workbook for Course 4</dc:title>
  <dc:subject>Business Finance - Part 2</dc:subject>
  <dc:creator>Matt H. Evans</dc:creator>
  <cp:keywords/>
  <dc:description/>
  <cp:lastModifiedBy>Authorized User</cp:lastModifiedBy>
  <cp:lastPrinted>2010-01-27T15:10:34Z</cp:lastPrinted>
  <dcterms:created xsi:type="dcterms:W3CDTF">2009-12-29T13:42:42Z</dcterms:created>
  <dcterms:modified xsi:type="dcterms:W3CDTF">2010-03-01T13:08:24Z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